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repsol365-my.sharepoint.com/personal/gmartinezmo_repsol_com/Documents/_Personal/_Arduino/PID Identificación de proceso/Proyecto 04 - Control Bola Viga/BolaViga_v1/"/>
    </mc:Choice>
  </mc:AlternateContent>
  <xr:revisionPtr revIDLastSave="156" documentId="13_ncr:1_{7432E944-0701-44ED-827C-04036AEBB626}" xr6:coauthVersionLast="47" xr6:coauthVersionMax="47" xr10:uidLastSave="{670A10ED-F578-4946-9A8C-BCCA66299E03}"/>
  <bookViews>
    <workbookView xWindow="28680" yWindow="-120" windowWidth="29040" windowHeight="15990" activeTab="1" xr2:uid="{00000000-000D-0000-FFFF-FFFF00000000}"/>
  </bookViews>
  <sheets>
    <sheet name="Ku,Tu" sheetId="1" r:id="rId1"/>
    <sheet name="Ranking" sheetId="2" r:id="rId2"/>
  </sheets>
  <definedNames>
    <definedName name="_xlnm._FilterDatabase" localSheetId="0" hidden="1">'Ku,Tu'!$C$6:$M$50</definedName>
    <definedName name="_xlnm._FilterDatabase" localSheetId="1" hidden="1">Ranking!$C$6:$M$50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2" l="1"/>
  <c r="B3" i="2" s="1"/>
  <c r="G2" i="2"/>
  <c r="B2" i="2" s="1"/>
  <c r="G3" i="1"/>
  <c r="B3" i="1" s="1"/>
  <c r="G2" i="1"/>
  <c r="B2" i="1" s="1"/>
  <c r="E47" i="2" l="1"/>
  <c r="E43" i="2"/>
  <c r="E39" i="2"/>
  <c r="E35" i="2"/>
  <c r="E31" i="2"/>
  <c r="E27" i="2"/>
  <c r="E21" i="2"/>
  <c r="F18" i="2"/>
  <c r="E17" i="2"/>
  <c r="E13" i="2"/>
  <c r="E9" i="2"/>
  <c r="E38" i="2"/>
  <c r="E34" i="2"/>
  <c r="E26" i="2"/>
  <c r="E18" i="2"/>
  <c r="E10" i="2"/>
  <c r="H10" i="2" s="1"/>
  <c r="E50" i="2"/>
  <c r="E49" i="2"/>
  <c r="E45" i="2"/>
  <c r="E41" i="2"/>
  <c r="E37" i="2"/>
  <c r="E33" i="2"/>
  <c r="E29" i="2"/>
  <c r="E25" i="2"/>
  <c r="E23" i="2"/>
  <c r="E19" i="2"/>
  <c r="E15" i="2"/>
  <c r="E11" i="2"/>
  <c r="H11" i="2" s="1"/>
  <c r="E7" i="2"/>
  <c r="E46" i="2"/>
  <c r="E42" i="2"/>
  <c r="E30" i="2"/>
  <c r="E22" i="2"/>
  <c r="E14" i="2"/>
  <c r="E48" i="2"/>
  <c r="E44" i="2"/>
  <c r="E40" i="2"/>
  <c r="E36" i="2"/>
  <c r="E32" i="2"/>
  <c r="E28" i="2"/>
  <c r="E24" i="2"/>
  <c r="E20" i="2"/>
  <c r="F17" i="2"/>
  <c r="E16" i="2"/>
  <c r="H16" i="2" s="1"/>
  <c r="E12" i="2"/>
  <c r="E8" i="2"/>
  <c r="F50" i="2"/>
  <c r="G49" i="2"/>
  <c r="F46" i="2"/>
  <c r="G45" i="2"/>
  <c r="F42" i="2"/>
  <c r="G41" i="2"/>
  <c r="F38" i="2"/>
  <c r="G37" i="2"/>
  <c r="F34" i="2"/>
  <c r="G33" i="2"/>
  <c r="F30" i="2"/>
  <c r="G29" i="2"/>
  <c r="F26" i="2"/>
  <c r="G25" i="2"/>
  <c r="F22" i="2"/>
  <c r="F14" i="2"/>
  <c r="F10" i="2"/>
  <c r="F49" i="2"/>
  <c r="F45" i="2"/>
  <c r="F41" i="2"/>
  <c r="G36" i="2"/>
  <c r="G32" i="2"/>
  <c r="F29" i="2"/>
  <c r="G24" i="2"/>
  <c r="F23" i="2"/>
  <c r="F15" i="2"/>
  <c r="F11" i="2"/>
  <c r="F7" i="2"/>
  <c r="F48" i="2"/>
  <c r="G47" i="2"/>
  <c r="F44" i="2"/>
  <c r="G43" i="2"/>
  <c r="F40" i="2"/>
  <c r="G39" i="2"/>
  <c r="F36" i="2"/>
  <c r="G35" i="2"/>
  <c r="F32" i="2"/>
  <c r="G31" i="2"/>
  <c r="F28" i="2"/>
  <c r="G27" i="2"/>
  <c r="F24" i="2"/>
  <c r="F20" i="2"/>
  <c r="F16" i="2"/>
  <c r="F12" i="2"/>
  <c r="F8" i="2"/>
  <c r="F9" i="2"/>
  <c r="G48" i="2"/>
  <c r="G44" i="2"/>
  <c r="G40" i="2"/>
  <c r="F37" i="2"/>
  <c r="F33" i="2"/>
  <c r="G28" i="2"/>
  <c r="F25" i="2"/>
  <c r="F19" i="2"/>
  <c r="F47" i="2"/>
  <c r="G46" i="2"/>
  <c r="F43" i="2"/>
  <c r="G42" i="2"/>
  <c r="F39" i="2"/>
  <c r="G38" i="2"/>
  <c r="F35" i="2"/>
  <c r="G34" i="2"/>
  <c r="F31" i="2"/>
  <c r="G30" i="2"/>
  <c r="F27" i="2"/>
  <c r="G26" i="2"/>
  <c r="F21" i="2"/>
  <c r="F13" i="2"/>
  <c r="E7" i="1"/>
  <c r="E25" i="1"/>
  <c r="E26" i="1"/>
  <c r="E28" i="1"/>
  <c r="E27" i="1"/>
  <c r="F7" i="1"/>
  <c r="G27" i="1"/>
  <c r="F26" i="1"/>
  <c r="F28" i="1"/>
  <c r="F27" i="1"/>
  <c r="G25" i="1"/>
  <c r="G26" i="1"/>
  <c r="F25" i="1"/>
  <c r="G28" i="1"/>
  <c r="F9" i="1"/>
  <c r="F13" i="1"/>
  <c r="F19" i="1"/>
  <c r="F23" i="1"/>
  <c r="G30" i="1"/>
  <c r="G32" i="1"/>
  <c r="G34" i="1"/>
  <c r="G36" i="1"/>
  <c r="G38" i="1"/>
  <c r="G40" i="1"/>
  <c r="G42" i="1"/>
  <c r="F44" i="1"/>
  <c r="G46" i="1"/>
  <c r="G48" i="1"/>
  <c r="F10" i="1"/>
  <c r="F14" i="1"/>
  <c r="F20" i="1"/>
  <c r="F24" i="1"/>
  <c r="F29" i="1"/>
  <c r="F31" i="1"/>
  <c r="F33" i="1"/>
  <c r="F35" i="1"/>
  <c r="F37" i="1"/>
  <c r="F39" i="1"/>
  <c r="G41" i="1"/>
  <c r="G43" i="1"/>
  <c r="F45" i="1"/>
  <c r="F47" i="1"/>
  <c r="G49" i="1"/>
  <c r="F11" i="1"/>
  <c r="F15" i="1"/>
  <c r="F22" i="1"/>
  <c r="G24" i="1"/>
  <c r="G29" i="1"/>
  <c r="G31" i="1"/>
  <c r="G33" i="1"/>
  <c r="G35" i="1"/>
  <c r="G37" i="1"/>
  <c r="G39" i="1"/>
  <c r="F41" i="1"/>
  <c r="F43" i="1"/>
  <c r="G45" i="1"/>
  <c r="G47" i="1"/>
  <c r="F49" i="1"/>
  <c r="F8" i="1"/>
  <c r="F12" i="1"/>
  <c r="F16" i="1"/>
  <c r="F21" i="1"/>
  <c r="F30" i="1"/>
  <c r="F32" i="1"/>
  <c r="F34" i="1"/>
  <c r="F36" i="1"/>
  <c r="F38" i="1"/>
  <c r="F40" i="1"/>
  <c r="F42" i="1"/>
  <c r="G44" i="1"/>
  <c r="F46" i="1"/>
  <c r="F48" i="1"/>
  <c r="F50" i="1"/>
  <c r="E48" i="1"/>
  <c r="E49" i="1"/>
  <c r="E11" i="1"/>
  <c r="H11" i="1" s="1"/>
  <c r="E13" i="1"/>
  <c r="E15" i="1"/>
  <c r="F17" i="1"/>
  <c r="E19" i="1"/>
  <c r="E23" i="1"/>
  <c r="E29" i="1"/>
  <c r="E30" i="1"/>
  <c r="E33" i="1"/>
  <c r="E37" i="1"/>
  <c r="E43" i="1"/>
  <c r="E45" i="1"/>
  <c r="E17" i="1"/>
  <c r="E32" i="1"/>
  <c r="E36" i="1"/>
  <c r="E40" i="1"/>
  <c r="E8" i="1"/>
  <c r="H8" i="1" s="1"/>
  <c r="E10" i="1"/>
  <c r="E12" i="1"/>
  <c r="E14" i="1"/>
  <c r="E16" i="1"/>
  <c r="E18" i="1"/>
  <c r="E20" i="1"/>
  <c r="E21" i="1"/>
  <c r="E24" i="1"/>
  <c r="E35" i="1"/>
  <c r="E39" i="1"/>
  <c r="E41" i="1"/>
  <c r="E47" i="1"/>
  <c r="E9" i="1"/>
  <c r="H9" i="1" s="1"/>
  <c r="F18" i="1"/>
  <c r="E22" i="1"/>
  <c r="E31" i="1"/>
  <c r="E34" i="1"/>
  <c r="E38" i="1"/>
  <c r="E42" i="1"/>
  <c r="E44" i="1"/>
  <c r="E46" i="1"/>
  <c r="E50" i="1"/>
  <c r="H32" i="2" l="1"/>
  <c r="I32" i="2"/>
  <c r="H48" i="2"/>
  <c r="I48" i="2"/>
  <c r="I42" i="2"/>
  <c r="H42" i="2"/>
  <c r="H15" i="2"/>
  <c r="I29" i="2"/>
  <c r="H29" i="2"/>
  <c r="I45" i="2"/>
  <c r="H45" i="2"/>
  <c r="H18" i="2"/>
  <c r="H9" i="2"/>
  <c r="H21" i="2"/>
  <c r="I39" i="2"/>
  <c r="H39" i="2"/>
  <c r="H28" i="2"/>
  <c r="I28" i="2"/>
  <c r="H8" i="2"/>
  <c r="H20" i="2"/>
  <c r="H36" i="2"/>
  <c r="I36" i="2"/>
  <c r="H14" i="2"/>
  <c r="H46" i="2"/>
  <c r="I46" i="2"/>
  <c r="H19" i="2"/>
  <c r="I33" i="2"/>
  <c r="H33" i="2"/>
  <c r="I49" i="2"/>
  <c r="H49" i="2"/>
  <c r="H26" i="2"/>
  <c r="I26" i="2"/>
  <c r="H13" i="2"/>
  <c r="I27" i="2"/>
  <c r="H27" i="2"/>
  <c r="I43" i="2"/>
  <c r="H43" i="2"/>
  <c r="H44" i="2"/>
  <c r="I44" i="2"/>
  <c r="I30" i="2"/>
  <c r="H30" i="2"/>
  <c r="I25" i="2"/>
  <c r="H25" i="2"/>
  <c r="I41" i="2"/>
  <c r="H41" i="2"/>
  <c r="H38" i="2"/>
  <c r="I38" i="2"/>
  <c r="I35" i="2"/>
  <c r="H35" i="2"/>
  <c r="H12" i="2"/>
  <c r="H24" i="2"/>
  <c r="I24" i="2"/>
  <c r="H40" i="2"/>
  <c r="I40" i="2"/>
  <c r="H22" i="2"/>
  <c r="H7" i="2"/>
  <c r="H23" i="2"/>
  <c r="I37" i="2"/>
  <c r="H37" i="2"/>
  <c r="H34" i="2"/>
  <c r="I34" i="2"/>
  <c r="H17" i="2"/>
  <c r="I31" i="2"/>
  <c r="H31" i="2"/>
  <c r="I47" i="2"/>
  <c r="H47" i="2"/>
  <c r="H7" i="1"/>
  <c r="H16" i="1"/>
  <c r="H19" i="1"/>
  <c r="H28" i="1"/>
  <c r="I28" i="1"/>
  <c r="H26" i="1"/>
  <c r="I26" i="1"/>
  <c r="H20" i="1"/>
  <c r="H27" i="1"/>
  <c r="I27" i="1"/>
  <c r="H13" i="1"/>
  <c r="H22" i="1"/>
  <c r="H21" i="1"/>
  <c r="H14" i="1"/>
  <c r="H18" i="1"/>
  <c r="H25" i="1"/>
  <c r="I25" i="1"/>
  <c r="I24" i="1"/>
  <c r="H24" i="1"/>
  <c r="I33" i="1"/>
  <c r="H33" i="1"/>
  <c r="H38" i="1"/>
  <c r="I38" i="1"/>
  <c r="I41" i="1"/>
  <c r="H41" i="1"/>
  <c r="I39" i="1"/>
  <c r="H39" i="1"/>
  <c r="H12" i="1"/>
  <c r="H36" i="1"/>
  <c r="I36" i="1"/>
  <c r="I43" i="1"/>
  <c r="H43" i="1"/>
  <c r="I29" i="1"/>
  <c r="H29" i="1"/>
  <c r="H15" i="1"/>
  <c r="I48" i="1"/>
  <c r="H48" i="1"/>
  <c r="H42" i="1"/>
  <c r="I42" i="1"/>
  <c r="H47" i="1"/>
  <c r="I47" i="1"/>
  <c r="H40" i="1"/>
  <c r="I40" i="1"/>
  <c r="H45" i="1"/>
  <c r="I45" i="1"/>
  <c r="H30" i="1"/>
  <c r="I30" i="1"/>
  <c r="H17" i="1"/>
  <c r="H49" i="1"/>
  <c r="I49" i="1"/>
  <c r="I46" i="1"/>
  <c r="H46" i="1"/>
  <c r="H34" i="1"/>
  <c r="I34" i="1"/>
  <c r="H44" i="1"/>
  <c r="I44" i="1"/>
  <c r="I31" i="1"/>
  <c r="H31" i="1"/>
  <c r="I35" i="1"/>
  <c r="H35" i="1"/>
  <c r="H10" i="1"/>
  <c r="H32" i="1"/>
  <c r="I32" i="1"/>
  <c r="I37" i="1"/>
  <c r="H37" i="1"/>
  <c r="H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MARTINEZ MORENO, GARIKOITZ</author>
  </authors>
  <commentList>
    <comment ref="C2" authorId="0" shapeId="0" xr:uid="{D4EE3843-C221-4088-9727-A36F76B660A5}">
      <text>
        <r>
          <rPr>
            <b/>
            <sz val="9"/>
            <color indexed="81"/>
            <rFont val="Tahoma"/>
            <family val="2"/>
          </rPr>
          <t>Delta PV</t>
        </r>
      </text>
    </comment>
    <comment ref="C3" authorId="0" shapeId="0" xr:uid="{FF2B4523-3544-444D-B993-59011571AABC}">
      <text>
        <r>
          <rPr>
            <b/>
            <sz val="9"/>
            <color indexed="81"/>
            <rFont val="Tahoma"/>
            <family val="2"/>
          </rPr>
          <t>Delta OP</t>
        </r>
      </text>
    </comment>
    <comment ref="A4" authorId="0" shapeId="0" xr:uid="{2E314881-797D-4BC6-AD1A-FCEF91BB982A}">
      <text>
        <r>
          <rPr>
            <b/>
            <sz val="9"/>
            <color indexed="81"/>
            <rFont val="Tahoma"/>
            <family val="2"/>
          </rPr>
          <t>Km = Gain of the process model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MARTINEZ MORENO, GARIKOITZ</author>
  </authors>
  <commentList>
    <comment ref="C2" authorId="0" shapeId="0" xr:uid="{0BCBAF24-357C-4C9D-B862-1A66AE506B7A}">
      <text>
        <r>
          <rPr>
            <b/>
            <sz val="9"/>
            <color indexed="81"/>
            <rFont val="Tahoma"/>
            <family val="2"/>
          </rPr>
          <t>Delta PV</t>
        </r>
      </text>
    </comment>
    <comment ref="C3" authorId="0" shapeId="0" xr:uid="{D286C2D0-7934-40F9-920F-E3CD6B1911DF}">
      <text>
        <r>
          <rPr>
            <b/>
            <sz val="9"/>
            <color indexed="81"/>
            <rFont val="Tahoma"/>
            <family val="2"/>
          </rPr>
          <t>Delta OP</t>
        </r>
      </text>
    </comment>
    <comment ref="A4" authorId="0" shapeId="0" xr:uid="{3A504984-9227-48A4-AE0B-3A1D3E83A8D9}">
      <text>
        <r>
          <rPr>
            <b/>
            <sz val="9"/>
            <color indexed="81"/>
            <rFont val="Tahoma"/>
            <family val="2"/>
          </rPr>
          <t>Km = Gain of the process model</t>
        </r>
      </text>
    </comment>
  </commentList>
</comments>
</file>

<file path=xl/sharedStrings.xml><?xml version="1.0" encoding="utf-8"?>
<sst xmlns="http://schemas.openxmlformats.org/spreadsheetml/2006/main" count="211" uniqueCount="74">
  <si>
    <t>Autor</t>
  </si>
  <si>
    <t>Kc</t>
  </si>
  <si>
    <t>Ti</t>
  </si>
  <si>
    <t>Td</t>
  </si>
  <si>
    <t>Año</t>
  </si>
  <si>
    <t>Ziegler-Nichols</t>
  </si>
  <si>
    <t>-</t>
  </si>
  <si>
    <t>Comentario1</t>
  </si>
  <si>
    <t>Comentario2</t>
  </si>
  <si>
    <t>Comentario3</t>
  </si>
  <si>
    <t>Quarter decay ratio</t>
  </si>
  <si>
    <t>Comentario4</t>
  </si>
  <si>
    <t>Parr</t>
  </si>
  <si>
    <t>McMillan</t>
  </si>
  <si>
    <t>Smith</t>
  </si>
  <si>
    <t>ABB</t>
  </si>
  <si>
    <t>Astrom and 
Hagglund</t>
  </si>
  <si>
    <t>Alfaro Ruiz</t>
  </si>
  <si>
    <t>Ku</t>
  </si>
  <si>
    <t>Tu</t>
  </si>
  <si>
    <t>Relé</t>
  </si>
  <si>
    <t>a</t>
  </si>
  <si>
    <t>d</t>
  </si>
  <si>
    <t>Tc</t>
  </si>
  <si>
    <t>%</t>
  </si>
  <si>
    <t>segundos</t>
  </si>
  <si>
    <t>Johnson</t>
  </si>
  <si>
    <t>Chen and Yang</t>
  </si>
  <si>
    <t>Hang</t>
  </si>
  <si>
    <t>Dominant time delay process.</t>
  </si>
  <si>
    <t>Pessen</t>
  </si>
  <si>
    <t>Minimum IAE regulator</t>
  </si>
  <si>
    <t>Edgar</t>
  </si>
  <si>
    <t>Minimum IAE servo</t>
  </si>
  <si>
    <t>Good response regulator</t>
  </si>
  <si>
    <t>Robbins</t>
  </si>
  <si>
    <t>NI Labview</t>
  </si>
  <si>
    <t>Some overshoot</t>
  </si>
  <si>
    <t>Little overshoot</t>
  </si>
  <si>
    <t>Pagola and 
Pecharromán</t>
  </si>
  <si>
    <t>Farrington</t>
  </si>
  <si>
    <t>McAvoy and 
Johnson</t>
  </si>
  <si>
    <t>Atkinson and Davey</t>
  </si>
  <si>
    <t>20% overshoot - servo response</t>
  </si>
  <si>
    <t>Pettit and Carr</t>
  </si>
  <si>
    <t>Underdamped</t>
  </si>
  <si>
    <t>Critically damped</t>
  </si>
  <si>
    <t>Overdamped</t>
  </si>
  <si>
    <t>Tinham</t>
  </si>
  <si>
    <t>Less than quarter decay ratio response</t>
  </si>
  <si>
    <t>Corripio</t>
  </si>
  <si>
    <t>P+D tuning rule</t>
  </si>
  <si>
    <t>Tyreus and Luyben</t>
  </si>
  <si>
    <t>Yu</t>
  </si>
  <si>
    <t>No overshoot</t>
  </si>
  <si>
    <t>Lloyd</t>
  </si>
  <si>
    <t>self-regulating processes</t>
  </si>
  <si>
    <t>Non self-regulating processes</t>
  </si>
  <si>
    <t>Ki</t>
  </si>
  <si>
    <t>Kd</t>
  </si>
  <si>
    <t>classic PID</t>
  </si>
  <si>
    <t>Pessen Integral Rule</t>
  </si>
  <si>
    <t>Específica para método relé</t>
  </si>
  <si>
    <t>Demasiado agresiva</t>
  </si>
  <si>
    <t>Demasiado conservadora</t>
  </si>
  <si>
    <t>Algo agresiva aunque estabiliza en la mayoría de casos</t>
  </si>
  <si>
    <t>Bastante equilibrada</t>
  </si>
  <si>
    <t>Inestable</t>
  </si>
  <si>
    <t>Ranking</t>
  </si>
  <si>
    <t>2º</t>
  </si>
  <si>
    <t>1º</t>
  </si>
  <si>
    <t>Comentario</t>
  </si>
  <si>
    <t>3º</t>
  </si>
  <si>
    <t>McAvoy and Johnson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</si>
</sst>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b/>
      <sz val="9"/>
      <color indexed="81"/>
      <name val="Tahoma"/>
      <family val="2"/>
    </font>
    <font>
      <sz val="8"/>
      <color rgb="FFFF0000"/>
      <name val="Calibri"/>
      <family val="2"/>
      <scheme val="minor"/>
    </font>
    <font>
      <sz val="8"/>
      <color rgb="FFFFC000"/>
      <name val="Calibri"/>
      <family val="2"/>
      <scheme val="minor"/>
    </font>
    <font>
      <sz val="8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/>
    <xf numFmtId="0" fontId="2" fillId="0" borderId="0" xfId="0" applyFont="1" applyFill="1" applyAlignment="1">
      <alignment horizontal="center" vertical="center"/>
    </xf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vertical="center" wrapText="1"/>
    </xf>
  </cellXfs>
  <cellStyles count="1">
    <cellStyle name="Normal" xfId="0" builtinId="0"/>
  </cellStyles>
  <dxfs count="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M104"/>
  <sheetViews>
    <sheetView showGridLines="0" zoomScale="115" zoomScaleNormal="115" workbookViewId="0">
      <pane ySplit="4" topLeftCell="A5" activePane="bottomLeft" state="frozen"/>
      <selection pane="bottomLeft" activeCell="G56" sqref="G56"/>
    </sheetView>
  </sheetViews>
  <sheetFormatPr baseColWidth="10" defaultColWidth="9.140625" defaultRowHeight="11.25" x14ac:dyDescent="0.2"/>
  <cols>
    <col min="1" max="1" width="2.7109375" style="1" bestFit="1" customWidth="1"/>
    <col min="2" max="2" width="4.85546875" style="1" bestFit="1" customWidth="1"/>
    <col min="3" max="3" width="14.140625" style="3" bestFit="1" customWidth="1"/>
    <col min="4" max="4" width="8.28515625" style="3" bestFit="1" customWidth="1"/>
    <col min="5" max="5" width="7.42578125" style="3" bestFit="1" customWidth="1"/>
    <col min="6" max="6" width="6.7109375" style="3" bestFit="1" customWidth="1"/>
    <col min="7" max="7" width="7.140625" style="3" bestFit="1" customWidth="1"/>
    <col min="8" max="8" width="6.85546875" style="2" bestFit="1" customWidth="1"/>
    <col min="9" max="9" width="7.28515625" style="2" bestFit="1" customWidth="1"/>
    <col min="10" max="10" width="26.5703125" style="2" bestFit="1" customWidth="1"/>
    <col min="11" max="11" width="19.85546875" style="2" bestFit="1" customWidth="1"/>
    <col min="12" max="13" width="25.5703125" style="2" customWidth="1"/>
    <col min="14" max="16384" width="9.140625" style="3"/>
  </cols>
  <sheetData>
    <row r="1" spans="1:13" x14ac:dyDescent="0.2">
      <c r="C1" s="37" t="s">
        <v>20</v>
      </c>
      <c r="D1" s="37"/>
      <c r="E1" s="37"/>
      <c r="F1" s="37"/>
      <c r="G1" s="37"/>
    </row>
    <row r="2" spans="1:13" x14ac:dyDescent="0.2">
      <c r="A2" s="1" t="s">
        <v>18</v>
      </c>
      <c r="B2" s="5">
        <f>$G$2</f>
        <v>0.98573384108528739</v>
      </c>
      <c r="C2" s="8" t="s">
        <v>21</v>
      </c>
      <c r="D2" s="6">
        <v>93</v>
      </c>
      <c r="E2" s="9" t="s">
        <v>24</v>
      </c>
      <c r="F2" s="8" t="s">
        <v>18</v>
      </c>
      <c r="G2" s="7">
        <f>4*D3/(PI()*D2)</f>
        <v>0.98573384108528739</v>
      </c>
    </row>
    <row r="3" spans="1:13" x14ac:dyDescent="0.2">
      <c r="A3" s="1" t="s">
        <v>19</v>
      </c>
      <c r="B3" s="5">
        <f>$G$3</f>
        <v>4.5999999999999996</v>
      </c>
      <c r="C3" s="8" t="s">
        <v>22</v>
      </c>
      <c r="D3" s="6">
        <v>72</v>
      </c>
      <c r="E3" s="9" t="s">
        <v>24</v>
      </c>
      <c r="F3" s="8" t="s">
        <v>19</v>
      </c>
      <c r="G3" s="6">
        <f>$D$4</f>
        <v>4.5999999999999996</v>
      </c>
    </row>
    <row r="4" spans="1:13" x14ac:dyDescent="0.2">
      <c r="A4" s="6"/>
      <c r="B4" s="6"/>
      <c r="C4" s="8" t="s">
        <v>23</v>
      </c>
      <c r="D4" s="6">
        <v>4.5999999999999996</v>
      </c>
      <c r="E4" s="9" t="s">
        <v>25</v>
      </c>
      <c r="F4" s="6"/>
      <c r="G4" s="6"/>
    </row>
    <row r="6" spans="1:13" s="10" customFormat="1" x14ac:dyDescent="0.2">
      <c r="C6" s="11" t="s">
        <v>0</v>
      </c>
      <c r="D6" s="11" t="s">
        <v>4</v>
      </c>
      <c r="E6" s="12" t="s">
        <v>1</v>
      </c>
      <c r="F6" s="12" t="s">
        <v>2</v>
      </c>
      <c r="G6" s="12" t="s">
        <v>3</v>
      </c>
      <c r="H6" s="27" t="s">
        <v>58</v>
      </c>
      <c r="I6" s="27" t="s">
        <v>59</v>
      </c>
      <c r="J6" s="13" t="s">
        <v>7</v>
      </c>
      <c r="K6" s="13" t="s">
        <v>8</v>
      </c>
      <c r="L6" s="13" t="s">
        <v>9</v>
      </c>
      <c r="M6" s="13" t="s">
        <v>11</v>
      </c>
    </row>
    <row r="7" spans="1:13" s="1" customFormat="1" hidden="1" x14ac:dyDescent="0.2">
      <c r="C7" s="15" t="s">
        <v>5</v>
      </c>
      <c r="D7" s="15">
        <v>1942</v>
      </c>
      <c r="E7" s="16">
        <f>0.45*$B$2</f>
        <v>0.44358022848837936</v>
      </c>
      <c r="F7" s="16">
        <f>0.83*$B$3</f>
        <v>3.8179999999999996</v>
      </c>
      <c r="G7" s="16" t="s">
        <v>6</v>
      </c>
      <c r="H7" s="4">
        <f t="shared" ref="H7:H44" si="0">E7/F7</f>
        <v>0.11618130657107895</v>
      </c>
      <c r="I7" s="4"/>
      <c r="J7" s="23" t="s">
        <v>10</v>
      </c>
    </row>
    <row r="8" spans="1:13" hidden="1" x14ac:dyDescent="0.2">
      <c r="C8" s="15" t="s">
        <v>26</v>
      </c>
      <c r="D8" s="15">
        <v>1956</v>
      </c>
      <c r="E8" s="16">
        <f>0.5*$B$2</f>
        <v>0.49286692054264369</v>
      </c>
      <c r="F8" s="16">
        <f>$B$3</f>
        <v>4.5999999999999996</v>
      </c>
      <c r="G8" s="16" t="s">
        <v>6</v>
      </c>
      <c r="H8" s="4">
        <f t="shared" si="0"/>
        <v>0.10714498272666167</v>
      </c>
      <c r="I8" s="4"/>
    </row>
    <row r="9" spans="1:13" hidden="1" x14ac:dyDescent="0.2">
      <c r="C9" s="34" t="s">
        <v>12</v>
      </c>
      <c r="D9" s="34">
        <v>1989</v>
      </c>
      <c r="E9" s="16">
        <f>0.5*$B$2</f>
        <v>0.49286692054264369</v>
      </c>
      <c r="F9" s="16">
        <f>0.43*$B$3</f>
        <v>1.9779999999999998</v>
      </c>
      <c r="G9" s="16" t="s">
        <v>6</v>
      </c>
      <c r="H9" s="4">
        <f t="shared" si="0"/>
        <v>0.24917437843409695</v>
      </c>
      <c r="I9" s="4"/>
    </row>
    <row r="10" spans="1:13" hidden="1" x14ac:dyDescent="0.2">
      <c r="C10" s="36"/>
      <c r="D10" s="36"/>
      <c r="E10" s="16">
        <f>0.33*$B$2</f>
        <v>0.32529216755814483</v>
      </c>
      <c r="F10" s="16">
        <f>2*$B$3</f>
        <v>9.1999999999999993</v>
      </c>
      <c r="G10" s="16" t="s">
        <v>6</v>
      </c>
      <c r="H10" s="4">
        <f t="shared" si="0"/>
        <v>3.5357844299798352E-2</v>
      </c>
      <c r="I10" s="4"/>
    </row>
    <row r="11" spans="1:13" hidden="1" x14ac:dyDescent="0.2">
      <c r="C11" s="15" t="s">
        <v>27</v>
      </c>
      <c r="D11" s="15">
        <v>1993</v>
      </c>
      <c r="E11" s="16">
        <f>0.36*$B$2</f>
        <v>0.35486418279070342</v>
      </c>
      <c r="F11" s="16">
        <f>5.25*$B$3</f>
        <v>24.15</v>
      </c>
      <c r="G11" s="16" t="s">
        <v>6</v>
      </c>
      <c r="H11" s="4">
        <f t="shared" si="0"/>
        <v>1.4694169059656457E-2</v>
      </c>
      <c r="I11" s="4"/>
    </row>
    <row r="12" spans="1:13" hidden="1" x14ac:dyDescent="0.2">
      <c r="C12" s="15" t="s">
        <v>28</v>
      </c>
      <c r="D12" s="15">
        <v>1993</v>
      </c>
      <c r="E12" s="16">
        <f>0.25*$B$2</f>
        <v>0.24643346027132185</v>
      </c>
      <c r="F12" s="16">
        <f>0.25*$B$3</f>
        <v>1.1499999999999999</v>
      </c>
      <c r="G12" s="16" t="s">
        <v>6</v>
      </c>
      <c r="H12" s="4">
        <f t="shared" si="0"/>
        <v>0.21428996545332335</v>
      </c>
      <c r="I12" s="4"/>
      <c r="J12" s="2" t="s">
        <v>29</v>
      </c>
    </row>
    <row r="13" spans="1:13" hidden="1" x14ac:dyDescent="0.2">
      <c r="C13" s="15" t="s">
        <v>30</v>
      </c>
      <c r="D13" s="15">
        <v>1994</v>
      </c>
      <c r="E13" s="16">
        <f>0.25*$B$2</f>
        <v>0.24643346027132185</v>
      </c>
      <c r="F13" s="16">
        <f>0.167*$B$3</f>
        <v>0.76819999999999999</v>
      </c>
      <c r="G13" s="16" t="s">
        <v>6</v>
      </c>
      <c r="H13" s="4">
        <f t="shared" si="0"/>
        <v>0.32079336145707088</v>
      </c>
      <c r="I13" s="4"/>
      <c r="J13" s="2" t="s">
        <v>29</v>
      </c>
    </row>
    <row r="14" spans="1:13" hidden="1" x14ac:dyDescent="0.2">
      <c r="C14" s="15" t="s">
        <v>13</v>
      </c>
      <c r="D14" s="15">
        <v>1994</v>
      </c>
      <c r="E14" s="16">
        <f>0.3571*$B$2</f>
        <v>0.35200555465155609</v>
      </c>
      <c r="F14" s="16">
        <f>$B$3</f>
        <v>4.5999999999999996</v>
      </c>
      <c r="G14" s="16" t="s">
        <v>6</v>
      </c>
      <c r="H14" s="4">
        <f t="shared" si="0"/>
        <v>7.6522946663381761E-2</v>
      </c>
      <c r="I14" s="4"/>
    </row>
    <row r="15" spans="1:13" hidden="1" x14ac:dyDescent="0.2">
      <c r="C15" s="15" t="s">
        <v>32</v>
      </c>
      <c r="D15" s="15">
        <v>1997</v>
      </c>
      <c r="E15" s="16">
        <f>0.59*$B$2</f>
        <v>0.58158296624031958</v>
      </c>
      <c r="F15" s="16">
        <f>0.81*$B$3</f>
        <v>3.726</v>
      </c>
      <c r="G15" s="16" t="s">
        <v>6</v>
      </c>
      <c r="H15" s="4">
        <f t="shared" si="0"/>
        <v>0.15608775261414912</v>
      </c>
      <c r="I15" s="4"/>
      <c r="J15" s="2" t="s">
        <v>31</v>
      </c>
    </row>
    <row r="16" spans="1:13" hidden="1" x14ac:dyDescent="0.2">
      <c r="C16" s="15" t="s">
        <v>15</v>
      </c>
      <c r="D16" s="15">
        <v>2001</v>
      </c>
      <c r="E16" s="16">
        <f>0.5*$B$2</f>
        <v>0.49286692054264369</v>
      </c>
      <c r="F16" s="16">
        <f>0.8*$B$3</f>
        <v>3.6799999999999997</v>
      </c>
      <c r="G16" s="16" t="s">
        <v>6</v>
      </c>
      <c r="H16" s="4">
        <f t="shared" si="0"/>
        <v>0.13393122840832711</v>
      </c>
      <c r="I16" s="4"/>
    </row>
    <row r="17" spans="1:11" hidden="1" x14ac:dyDescent="0.2">
      <c r="C17" s="38" t="s">
        <v>35</v>
      </c>
      <c r="D17" s="38">
        <v>2002</v>
      </c>
      <c r="E17" s="21">
        <f>0.3*$B$2</f>
        <v>0.29572015232558618</v>
      </c>
      <c r="F17" s="21">
        <f>(0.24+0.111*$B$2*$B$4)*$B$3</f>
        <v>1.1039999999999999</v>
      </c>
      <c r="G17" s="21" t="s">
        <v>6</v>
      </c>
      <c r="H17" s="4">
        <f t="shared" si="0"/>
        <v>0.26786245681665416</v>
      </c>
      <c r="I17" s="4"/>
      <c r="J17" s="19" t="s">
        <v>33</v>
      </c>
    </row>
    <row r="18" spans="1:11" hidden="1" x14ac:dyDescent="0.2">
      <c r="C18" s="39"/>
      <c r="D18" s="39"/>
      <c r="E18" s="21">
        <f>0.3*$B$2</f>
        <v>0.29572015232558618</v>
      </c>
      <c r="F18" s="21">
        <f>(0.27+0.054*$B$2*$B$4)*$B$3</f>
        <v>1.242</v>
      </c>
      <c r="G18" s="21" t="s">
        <v>6</v>
      </c>
      <c r="H18" s="4">
        <f t="shared" si="0"/>
        <v>0.23809996161480368</v>
      </c>
      <c r="I18" s="4"/>
      <c r="J18" s="19" t="s">
        <v>34</v>
      </c>
    </row>
    <row r="19" spans="1:11" ht="22.5" hidden="1" x14ac:dyDescent="0.2">
      <c r="B19" s="22"/>
      <c r="C19" s="18" t="s">
        <v>16</v>
      </c>
      <c r="D19" s="15">
        <v>1991</v>
      </c>
      <c r="E19" s="16">
        <f>0.25*$B$2</f>
        <v>0.24643346027132185</v>
      </c>
      <c r="F19" s="16">
        <f>0.2546*$B$3</f>
        <v>1.17116</v>
      </c>
      <c r="G19" s="16" t="s">
        <v>6</v>
      </c>
      <c r="H19" s="4">
        <f t="shared" si="0"/>
        <v>0.21041826929823582</v>
      </c>
      <c r="I19" s="4"/>
    </row>
    <row r="20" spans="1:11" hidden="1" x14ac:dyDescent="0.2">
      <c r="B20" s="22"/>
      <c r="C20" s="34" t="s">
        <v>36</v>
      </c>
      <c r="D20" s="34">
        <v>2001</v>
      </c>
      <c r="E20" s="16">
        <f>0.4*$B$2</f>
        <v>0.39429353643411497</v>
      </c>
      <c r="F20" s="16">
        <f>0.8*$B$3</f>
        <v>3.6799999999999997</v>
      </c>
      <c r="G20" s="16" t="s">
        <v>6</v>
      </c>
      <c r="H20" s="4">
        <f t="shared" si="0"/>
        <v>0.10714498272666169</v>
      </c>
      <c r="I20" s="4"/>
      <c r="J20" s="23" t="s">
        <v>10</v>
      </c>
    </row>
    <row r="21" spans="1:11" hidden="1" x14ac:dyDescent="0.2">
      <c r="B21" s="22"/>
      <c r="C21" s="35"/>
      <c r="D21" s="35"/>
      <c r="E21" s="16">
        <f>0.18*$B$2</f>
        <v>0.17743209139535171</v>
      </c>
      <c r="F21" s="16">
        <f t="shared" ref="F21:F22" si="1">0.8*$B$3</f>
        <v>3.6799999999999997</v>
      </c>
      <c r="G21" s="16" t="s">
        <v>6</v>
      </c>
      <c r="H21" s="4">
        <f t="shared" si="0"/>
        <v>4.8215242226997752E-2</v>
      </c>
      <c r="I21" s="4"/>
      <c r="J21" s="2" t="s">
        <v>37</v>
      </c>
    </row>
    <row r="22" spans="1:11" hidden="1" x14ac:dyDescent="0.2">
      <c r="B22" s="22"/>
      <c r="C22" s="36"/>
      <c r="D22" s="36"/>
      <c r="E22" s="16">
        <f>0.13*$B$2</f>
        <v>0.12814539934108737</v>
      </c>
      <c r="F22" s="16">
        <f t="shared" si="1"/>
        <v>3.6799999999999997</v>
      </c>
      <c r="G22" s="16" t="s">
        <v>6</v>
      </c>
      <c r="H22" s="4">
        <f t="shared" si="0"/>
        <v>3.482211938616505E-2</v>
      </c>
      <c r="I22" s="4"/>
      <c r="J22" s="2" t="s">
        <v>38</v>
      </c>
    </row>
    <row r="23" spans="1:11" ht="22.5" hidden="1" x14ac:dyDescent="0.2">
      <c r="C23" s="18" t="s">
        <v>39</v>
      </c>
      <c r="D23" s="15">
        <v>2002</v>
      </c>
      <c r="E23" s="16">
        <f>0.3*$B$2</f>
        <v>0.29572015232558618</v>
      </c>
      <c r="F23" s="16">
        <f>1.6*$B$3</f>
        <v>7.3599999999999994</v>
      </c>
      <c r="G23" s="16" t="s">
        <v>6</v>
      </c>
      <c r="H23" s="4">
        <f t="shared" si="0"/>
        <v>4.0179368522498128E-2</v>
      </c>
      <c r="I23" s="4"/>
    </row>
    <row r="24" spans="1:11" x14ac:dyDescent="0.2">
      <c r="C24" s="34" t="s">
        <v>5</v>
      </c>
      <c r="D24" s="34">
        <v>1942</v>
      </c>
      <c r="E24" s="16">
        <f>0.6*$B$2</f>
        <v>0.59144030465117237</v>
      </c>
      <c r="F24" s="16">
        <f>0.5*$B$3</f>
        <v>2.2999999999999998</v>
      </c>
      <c r="G24" s="16">
        <f>0.125*$B$3</f>
        <v>0.57499999999999996</v>
      </c>
      <c r="H24" s="28">
        <f t="shared" si="0"/>
        <v>0.25714795854398803</v>
      </c>
      <c r="I24" s="28">
        <f t="shared" ref="I24:I44" si="2">E24*G24</f>
        <v>0.34007817517442407</v>
      </c>
      <c r="J24" s="23" t="s">
        <v>60</v>
      </c>
      <c r="K24" s="23" t="s">
        <v>10</v>
      </c>
    </row>
    <row r="25" spans="1:11" x14ac:dyDescent="0.2">
      <c r="C25" s="35"/>
      <c r="D25" s="35"/>
      <c r="E25" s="16">
        <f>0.7*$B$2</f>
        <v>0.69001368875970115</v>
      </c>
      <c r="F25" s="16">
        <f>0.4*$B$3</f>
        <v>1.8399999999999999</v>
      </c>
      <c r="G25" s="16">
        <f>0.15*$B$3</f>
        <v>0.69</v>
      </c>
      <c r="H25" s="28">
        <f t="shared" si="0"/>
        <v>0.37500743954331589</v>
      </c>
      <c r="I25" s="28">
        <f t="shared" si="2"/>
        <v>0.47610944524419374</v>
      </c>
      <c r="J25" s="23" t="s">
        <v>61</v>
      </c>
      <c r="K25" s="23"/>
    </row>
    <row r="26" spans="1:11" x14ac:dyDescent="0.2">
      <c r="A26" s="24"/>
      <c r="B26" s="24"/>
      <c r="C26" s="35"/>
      <c r="D26" s="35"/>
      <c r="E26" s="16">
        <f>0.33*$B$2</f>
        <v>0.32529216755814483</v>
      </c>
      <c r="F26" s="16">
        <f>0.5*$B$3</f>
        <v>2.2999999999999998</v>
      </c>
      <c r="G26" s="16">
        <f>0.33*$B$3</f>
        <v>1.518</v>
      </c>
      <c r="H26" s="28">
        <f t="shared" ref="H26:H28" si="3">E26/F26</f>
        <v>0.14143137719919341</v>
      </c>
      <c r="I26" s="28">
        <f t="shared" ref="I26:I28" si="4">E26*G26</f>
        <v>0.49379351035326385</v>
      </c>
      <c r="J26" s="23" t="s">
        <v>37</v>
      </c>
      <c r="K26" s="23"/>
    </row>
    <row r="27" spans="1:11" x14ac:dyDescent="0.2">
      <c r="A27" s="24"/>
      <c r="B27" s="24"/>
      <c r="C27" s="35"/>
      <c r="D27" s="35"/>
      <c r="E27" s="16">
        <f>0.2*$B$2</f>
        <v>0.19714676821705748</v>
      </c>
      <c r="F27" s="16">
        <f>0.5*$B$3</f>
        <v>2.2999999999999998</v>
      </c>
      <c r="G27" s="16">
        <f>0.33*$B$3</f>
        <v>1.518</v>
      </c>
      <c r="H27" s="28">
        <f t="shared" si="3"/>
        <v>8.5715986181329348E-2</v>
      </c>
      <c r="I27" s="28">
        <f t="shared" si="4"/>
        <v>0.29926879415349328</v>
      </c>
      <c r="J27" s="23" t="s">
        <v>54</v>
      </c>
      <c r="K27" s="23"/>
    </row>
    <row r="28" spans="1:11" x14ac:dyDescent="0.2">
      <c r="A28" s="24"/>
      <c r="B28" s="24"/>
      <c r="C28" s="36"/>
      <c r="D28" s="36"/>
      <c r="E28" s="16">
        <f>$B$2</f>
        <v>0.98573384108528739</v>
      </c>
      <c r="F28" s="16">
        <f>0.5*$B$3</f>
        <v>2.2999999999999998</v>
      </c>
      <c r="G28" s="16">
        <f>0.125*$B$3</f>
        <v>0.57499999999999996</v>
      </c>
      <c r="H28" s="28">
        <f t="shared" si="3"/>
        <v>0.4285799309066467</v>
      </c>
      <c r="I28" s="28">
        <f t="shared" si="4"/>
        <v>0.56679695862404023</v>
      </c>
      <c r="J28" s="23"/>
      <c r="K28" s="23" t="s">
        <v>10</v>
      </c>
    </row>
    <row r="29" spans="1:11" x14ac:dyDescent="0.2">
      <c r="C29" s="34" t="s">
        <v>40</v>
      </c>
      <c r="D29" s="34">
        <v>1950</v>
      </c>
      <c r="E29" s="16">
        <f>0.33*$B$2</f>
        <v>0.32529216755814483</v>
      </c>
      <c r="F29" s="16">
        <f>$B$3</f>
        <v>4.5999999999999996</v>
      </c>
      <c r="G29" s="16">
        <f>0.1*$B$3</f>
        <v>0.45999999999999996</v>
      </c>
      <c r="H29" s="28">
        <f t="shared" si="0"/>
        <v>7.0715688599596704E-2</v>
      </c>
      <c r="I29" s="28">
        <f t="shared" si="2"/>
        <v>0.14963439707674661</v>
      </c>
    </row>
    <row r="30" spans="1:11" x14ac:dyDescent="0.2">
      <c r="C30" s="36"/>
      <c r="D30" s="36"/>
      <c r="E30" s="16">
        <f>0.5*$B$2</f>
        <v>0.49286692054264369</v>
      </c>
      <c r="F30" s="16">
        <f>$B$3</f>
        <v>4.5999999999999996</v>
      </c>
      <c r="G30" s="16">
        <f>0.25*$B$3</f>
        <v>1.1499999999999999</v>
      </c>
      <c r="H30" s="28">
        <f t="shared" si="0"/>
        <v>0.10714498272666167</v>
      </c>
      <c r="I30" s="28">
        <f t="shared" si="2"/>
        <v>0.56679695862404023</v>
      </c>
    </row>
    <row r="31" spans="1:11" ht="22.5" x14ac:dyDescent="0.2">
      <c r="C31" s="18" t="s">
        <v>41</v>
      </c>
      <c r="D31" s="15">
        <v>1967</v>
      </c>
      <c r="E31" s="16">
        <f>0.54*$B$2</f>
        <v>0.53229627418605518</v>
      </c>
      <c r="F31" s="16">
        <f>$B$3</f>
        <v>4.5999999999999996</v>
      </c>
      <c r="G31" s="16">
        <f>0.2*$B$3</f>
        <v>0.91999999999999993</v>
      </c>
      <c r="H31" s="28">
        <f t="shared" si="0"/>
        <v>0.11571658134479461</v>
      </c>
      <c r="I31" s="28">
        <f t="shared" si="2"/>
        <v>0.48971257225117071</v>
      </c>
    </row>
    <row r="32" spans="1:11" x14ac:dyDescent="0.2">
      <c r="C32" s="15" t="s">
        <v>42</v>
      </c>
      <c r="D32" s="15">
        <v>1968</v>
      </c>
      <c r="E32" s="16">
        <f>0.25*$B$2</f>
        <v>0.24643346027132185</v>
      </c>
      <c r="F32" s="16">
        <f>0.75*$B$3</f>
        <v>3.4499999999999997</v>
      </c>
      <c r="G32" s="16">
        <f>0.25*$B$3</f>
        <v>1.1499999999999999</v>
      </c>
      <c r="H32" s="28">
        <f t="shared" si="0"/>
        <v>7.1429988484441126E-2</v>
      </c>
      <c r="I32" s="28">
        <f t="shared" si="2"/>
        <v>0.28339847931202011</v>
      </c>
      <c r="J32" s="2" t="s">
        <v>43</v>
      </c>
    </row>
    <row r="33" spans="2:11" x14ac:dyDescent="0.2">
      <c r="C33" s="34" t="s">
        <v>44</v>
      </c>
      <c r="D33" s="34">
        <v>1987</v>
      </c>
      <c r="E33" s="16">
        <f>$B$2</f>
        <v>0.98573384108528739</v>
      </c>
      <c r="F33" s="16">
        <f>0.5*$B$3</f>
        <v>2.2999999999999998</v>
      </c>
      <c r="G33" s="16">
        <f>0.125*$B$3</f>
        <v>0.57499999999999996</v>
      </c>
      <c r="H33" s="28">
        <f t="shared" si="0"/>
        <v>0.4285799309066467</v>
      </c>
      <c r="I33" s="28">
        <f t="shared" si="2"/>
        <v>0.56679695862404023</v>
      </c>
      <c r="J33" s="2" t="s">
        <v>45</v>
      </c>
    </row>
    <row r="34" spans="2:11" x14ac:dyDescent="0.2">
      <c r="C34" s="35"/>
      <c r="D34" s="35"/>
      <c r="E34" s="16">
        <f>0.6667*$B$2</f>
        <v>0.65718875185156111</v>
      </c>
      <c r="F34" s="16">
        <f>$B$3</f>
        <v>4.5999999999999996</v>
      </c>
      <c r="G34" s="16">
        <f>0.167*$B$3</f>
        <v>0.76819999999999999</v>
      </c>
      <c r="H34" s="28">
        <f t="shared" si="0"/>
        <v>0.14286711996773069</v>
      </c>
      <c r="I34" s="28">
        <f t="shared" si="2"/>
        <v>0.50485239917236924</v>
      </c>
      <c r="J34" s="2" t="s">
        <v>46</v>
      </c>
    </row>
    <row r="35" spans="2:11" x14ac:dyDescent="0.2">
      <c r="C35" s="36"/>
      <c r="D35" s="36"/>
      <c r="E35" s="16">
        <f>0.5*$B$2</f>
        <v>0.49286692054264369</v>
      </c>
      <c r="F35" s="16">
        <f>1.5*$B$3</f>
        <v>6.8999999999999995</v>
      </c>
      <c r="G35" s="16">
        <f>0.167*$B$3</f>
        <v>0.76819999999999999</v>
      </c>
      <c r="H35" s="28">
        <f t="shared" si="0"/>
        <v>7.1429988484441126E-2</v>
      </c>
      <c r="I35" s="28">
        <f t="shared" si="2"/>
        <v>0.37862036836085888</v>
      </c>
      <c r="J35" s="2" t="s">
        <v>47</v>
      </c>
    </row>
    <row r="36" spans="2:11" x14ac:dyDescent="0.2">
      <c r="C36" s="15" t="s">
        <v>48</v>
      </c>
      <c r="D36" s="15">
        <v>1989</v>
      </c>
      <c r="E36" s="16">
        <f>0.4444*$B$2</f>
        <v>0.43806011897830172</v>
      </c>
      <c r="F36" s="16">
        <f>0.6*$B$3</f>
        <v>2.76</v>
      </c>
      <c r="G36" s="16">
        <f>0.19*$B$3</f>
        <v>0.87399999999999989</v>
      </c>
      <c r="H36" s="28">
        <f t="shared" si="0"/>
        <v>0.15871743441242817</v>
      </c>
      <c r="I36" s="28">
        <f t="shared" si="2"/>
        <v>0.38286454398703568</v>
      </c>
      <c r="J36" s="26" t="s">
        <v>49</v>
      </c>
    </row>
    <row r="37" spans="2:11" x14ac:dyDescent="0.2">
      <c r="C37" s="15" t="s">
        <v>50</v>
      </c>
      <c r="D37" s="15">
        <v>1990</v>
      </c>
      <c r="E37" s="16">
        <f>0.75*$B$2</f>
        <v>0.73930038081396554</v>
      </c>
      <c r="F37" s="16">
        <f>0.63*$B$3</f>
        <v>2.8979999999999997</v>
      </c>
      <c r="G37" s="16">
        <f>0.1*$B$3</f>
        <v>0.45999999999999996</v>
      </c>
      <c r="H37" s="28">
        <f t="shared" si="0"/>
        <v>0.25510710173014689</v>
      </c>
      <c r="I37" s="28">
        <f t="shared" si="2"/>
        <v>0.34007817517442412</v>
      </c>
      <c r="J37" s="23" t="s">
        <v>10</v>
      </c>
    </row>
    <row r="38" spans="2:11" x14ac:dyDescent="0.2">
      <c r="C38" s="15" t="s">
        <v>15</v>
      </c>
      <c r="D38" s="15">
        <v>1996</v>
      </c>
      <c r="E38" s="16">
        <f>0.625*$B$2</f>
        <v>0.61608365067830462</v>
      </c>
      <c r="F38" s="16">
        <f>0.5*$B$3</f>
        <v>2.2999999999999998</v>
      </c>
      <c r="G38" s="16">
        <f>0.083*$B$3</f>
        <v>0.38179999999999997</v>
      </c>
      <c r="H38" s="28">
        <f t="shared" si="0"/>
        <v>0.26786245681665422</v>
      </c>
      <c r="I38" s="28">
        <f t="shared" si="2"/>
        <v>0.23522073782897668</v>
      </c>
      <c r="J38" s="2" t="s">
        <v>51</v>
      </c>
    </row>
    <row r="39" spans="2:11" x14ac:dyDescent="0.2">
      <c r="C39" s="15" t="s">
        <v>52</v>
      </c>
      <c r="D39" s="15">
        <v>1992</v>
      </c>
      <c r="E39" s="16">
        <f>0.46*$B$2</f>
        <v>0.4534375668992322</v>
      </c>
      <c r="F39" s="16">
        <f>2.2*$B$3</f>
        <v>10.119999999999999</v>
      </c>
      <c r="G39" s="16">
        <f>0.16*$B$3</f>
        <v>0.73599999999999999</v>
      </c>
      <c r="H39" s="28">
        <f t="shared" si="0"/>
        <v>4.4806083685694886E-2</v>
      </c>
      <c r="I39" s="28">
        <f t="shared" si="2"/>
        <v>0.33373004923783489</v>
      </c>
    </row>
    <row r="40" spans="2:11" x14ac:dyDescent="0.2">
      <c r="C40" s="34" t="s">
        <v>53</v>
      </c>
      <c r="D40" s="34">
        <v>1999</v>
      </c>
      <c r="E40" s="16">
        <f>0.33*$B$2</f>
        <v>0.32529216755814483</v>
      </c>
      <c r="F40" s="16">
        <f>0.5*$B$3</f>
        <v>2.2999999999999998</v>
      </c>
      <c r="G40" s="16">
        <f>0.125*$B$3</f>
        <v>0.57499999999999996</v>
      </c>
      <c r="H40" s="28">
        <f t="shared" si="0"/>
        <v>0.14143137719919341</v>
      </c>
      <c r="I40" s="28">
        <f t="shared" si="2"/>
        <v>0.18704299634593327</v>
      </c>
      <c r="J40" s="2" t="s">
        <v>37</v>
      </c>
    </row>
    <row r="41" spans="2:11" x14ac:dyDescent="0.2">
      <c r="C41" s="36"/>
      <c r="D41" s="36"/>
      <c r="E41" s="16">
        <f>0.2*$B$2</f>
        <v>0.19714676821705748</v>
      </c>
      <c r="F41" s="16">
        <f>0.5*$B$3</f>
        <v>2.2999999999999998</v>
      </c>
      <c r="G41" s="16">
        <f>0.125*$B$3</f>
        <v>0.57499999999999996</v>
      </c>
      <c r="H41" s="28">
        <f t="shared" si="0"/>
        <v>8.5715986181329348E-2</v>
      </c>
      <c r="I41" s="28">
        <f t="shared" si="2"/>
        <v>0.11335939172480805</v>
      </c>
      <c r="J41" s="2" t="s">
        <v>54</v>
      </c>
    </row>
    <row r="42" spans="2:11" x14ac:dyDescent="0.2">
      <c r="C42" s="15" t="s">
        <v>14</v>
      </c>
      <c r="D42" s="15">
        <v>2003</v>
      </c>
      <c r="E42" s="16">
        <f>0.75*$B$2</f>
        <v>0.73930038081396554</v>
      </c>
      <c r="F42" s="16">
        <f>0.625*$B$3</f>
        <v>2.875</v>
      </c>
      <c r="G42" s="16">
        <f>0.1*$B$3</f>
        <v>0.45999999999999996</v>
      </c>
      <c r="H42" s="28">
        <f t="shared" si="0"/>
        <v>0.25714795854398803</v>
      </c>
      <c r="I42" s="28">
        <f t="shared" si="2"/>
        <v>0.34007817517442412</v>
      </c>
    </row>
    <row r="43" spans="2:11" x14ac:dyDescent="0.2">
      <c r="C43" s="34" t="s">
        <v>17</v>
      </c>
      <c r="D43" s="34">
        <v>2005</v>
      </c>
      <c r="E43" s="16">
        <f>$B$2</f>
        <v>0.98573384108528739</v>
      </c>
      <c r="F43" s="16">
        <f>0.625*$B$3</f>
        <v>2.875</v>
      </c>
      <c r="G43" s="16">
        <f>0.1*$B$3</f>
        <v>0.45999999999999996</v>
      </c>
      <c r="H43" s="28">
        <f t="shared" si="0"/>
        <v>0.34286394472531734</v>
      </c>
      <c r="I43" s="28">
        <f t="shared" si="2"/>
        <v>0.45343756689923215</v>
      </c>
      <c r="J43" s="23" t="s">
        <v>10</v>
      </c>
    </row>
    <row r="44" spans="2:11" x14ac:dyDescent="0.2">
      <c r="C44" s="36"/>
      <c r="D44" s="36"/>
      <c r="E44" s="16">
        <f>1.67*$B$2</f>
        <v>1.6461755146124299</v>
      </c>
      <c r="F44" s="16">
        <f>0.625*$B$3</f>
        <v>2.875</v>
      </c>
      <c r="G44" s="16">
        <f>0.1*$B$3</f>
        <v>0.45999999999999996</v>
      </c>
      <c r="H44" s="28">
        <f t="shared" si="0"/>
        <v>0.57258278769128002</v>
      </c>
      <c r="I44" s="28">
        <f t="shared" si="2"/>
        <v>0.75724073672171777</v>
      </c>
      <c r="J44" s="23" t="s">
        <v>10</v>
      </c>
    </row>
    <row r="45" spans="2:11" x14ac:dyDescent="0.2">
      <c r="B45" s="17"/>
      <c r="C45" s="34" t="s">
        <v>55</v>
      </c>
      <c r="D45" s="34">
        <v>1994</v>
      </c>
      <c r="E45" s="16">
        <f>0.4*$B$2</f>
        <v>0.39429353643411497</v>
      </c>
      <c r="F45" s="16">
        <f>0.3333*$B$3</f>
        <v>1.5331799999999998</v>
      </c>
      <c r="G45" s="16">
        <f>0.083*$B$3</f>
        <v>0.38179999999999997</v>
      </c>
      <c r="H45" s="28">
        <f>E45/F45</f>
        <v>0.25717367591157919</v>
      </c>
      <c r="I45" s="28">
        <f>E45*G45</f>
        <v>0.15054127221054509</v>
      </c>
      <c r="J45" s="2" t="s">
        <v>56</v>
      </c>
      <c r="K45" s="2" t="s">
        <v>62</v>
      </c>
    </row>
    <row r="46" spans="2:11" x14ac:dyDescent="0.2">
      <c r="B46" s="17"/>
      <c r="C46" s="36"/>
      <c r="D46" s="36"/>
      <c r="E46" s="16">
        <f>0.4*$B$2</f>
        <v>0.39429353643411497</v>
      </c>
      <c r="F46" s="16">
        <f>$B$3</f>
        <v>4.5999999999999996</v>
      </c>
      <c r="G46" s="16">
        <f>0.159*$B$3</f>
        <v>0.73139999999999994</v>
      </c>
      <c r="H46" s="28">
        <f t="shared" ref="H46:H49" si="5">E46/F46</f>
        <v>8.5715986181329348E-2</v>
      </c>
      <c r="I46" s="28">
        <f t="shared" ref="I46:I49" si="6">E46*G46</f>
        <v>0.28838629254791165</v>
      </c>
      <c r="J46" s="2" t="s">
        <v>57</v>
      </c>
      <c r="K46" s="2" t="s">
        <v>62</v>
      </c>
    </row>
    <row r="47" spans="2:11" x14ac:dyDescent="0.2">
      <c r="B47" s="17"/>
      <c r="C47" s="34" t="s">
        <v>36</v>
      </c>
      <c r="D47" s="34">
        <v>2001</v>
      </c>
      <c r="E47" s="16">
        <f>0.6*$B$2</f>
        <v>0.59144030465117237</v>
      </c>
      <c r="F47" s="16">
        <f>0.5*$B$3</f>
        <v>2.2999999999999998</v>
      </c>
      <c r="G47" s="16">
        <f>0.12*$B$3</f>
        <v>0.55199999999999994</v>
      </c>
      <c r="H47" s="28">
        <f t="shared" si="5"/>
        <v>0.25714795854398803</v>
      </c>
      <c r="I47" s="28">
        <f t="shared" si="6"/>
        <v>0.3264750481674471</v>
      </c>
      <c r="J47" s="23" t="s">
        <v>10</v>
      </c>
      <c r="K47" s="2" t="s">
        <v>62</v>
      </c>
    </row>
    <row r="48" spans="2:11" x14ac:dyDescent="0.2">
      <c r="B48" s="17"/>
      <c r="C48" s="35"/>
      <c r="D48" s="35"/>
      <c r="E48" s="16">
        <f>0.25*$B$2</f>
        <v>0.24643346027132185</v>
      </c>
      <c r="F48" s="16">
        <f>0.5*$B$3</f>
        <v>2.2999999999999998</v>
      </c>
      <c r="G48" s="16">
        <f>0.12*$B$3</f>
        <v>0.55199999999999994</v>
      </c>
      <c r="H48" s="28">
        <f t="shared" si="5"/>
        <v>0.10714498272666167</v>
      </c>
      <c r="I48" s="28">
        <f t="shared" si="6"/>
        <v>0.13603127006976964</v>
      </c>
      <c r="J48" s="2" t="s">
        <v>37</v>
      </c>
      <c r="K48" s="2" t="s">
        <v>62</v>
      </c>
    </row>
    <row r="49" spans="2:11" x14ac:dyDescent="0.2">
      <c r="B49" s="17"/>
      <c r="C49" s="36"/>
      <c r="D49" s="36"/>
      <c r="E49" s="16">
        <f>0.15*$B$2</f>
        <v>0.14786007616279309</v>
      </c>
      <c r="F49" s="16">
        <f>0.5*$B$3</f>
        <v>2.2999999999999998</v>
      </c>
      <c r="G49" s="16">
        <f>0.12*$B$3</f>
        <v>0.55199999999999994</v>
      </c>
      <c r="H49" s="28">
        <f t="shared" si="5"/>
        <v>6.4286989635997008E-2</v>
      </c>
      <c r="I49" s="28">
        <f t="shared" si="6"/>
        <v>8.1618762041861775E-2</v>
      </c>
      <c r="J49" s="2" t="s">
        <v>38</v>
      </c>
      <c r="K49" s="2" t="s">
        <v>62</v>
      </c>
    </row>
    <row r="50" spans="2:11" hidden="1" x14ac:dyDescent="0.2">
      <c r="C50" s="25" t="s">
        <v>52</v>
      </c>
      <c r="D50" s="25">
        <v>1992</v>
      </c>
      <c r="E50" s="29">
        <f>0.31*$B$2</f>
        <v>0.30557749073643908</v>
      </c>
      <c r="F50" s="29">
        <f>2.2*$B$3</f>
        <v>10.119999999999999</v>
      </c>
      <c r="G50" s="29" t="s">
        <v>6</v>
      </c>
      <c r="H50" s="14"/>
      <c r="I50" s="14"/>
      <c r="J50" s="14"/>
    </row>
    <row r="51" spans="2:11" x14ac:dyDescent="0.2">
      <c r="C51" s="20"/>
      <c r="D51" s="20"/>
      <c r="E51" s="30"/>
      <c r="F51" s="30"/>
      <c r="G51" s="30"/>
    </row>
    <row r="52" spans="2:11" x14ac:dyDescent="0.2">
      <c r="C52" s="20"/>
      <c r="D52" s="20"/>
      <c r="E52" s="30"/>
      <c r="F52" s="30"/>
      <c r="G52" s="30"/>
    </row>
    <row r="53" spans="2:11" x14ac:dyDescent="0.2">
      <c r="C53" s="20"/>
      <c r="D53" s="20"/>
      <c r="E53" s="30"/>
      <c r="F53" s="30"/>
      <c r="G53" s="30"/>
    </row>
    <row r="54" spans="2:11" x14ac:dyDescent="0.2">
      <c r="C54" s="20"/>
      <c r="D54" s="20"/>
      <c r="E54" s="30"/>
      <c r="F54" s="30"/>
      <c r="G54" s="30"/>
    </row>
    <row r="55" spans="2:11" x14ac:dyDescent="0.2">
      <c r="C55" s="20"/>
      <c r="D55" s="20"/>
      <c r="E55" s="30"/>
      <c r="F55" s="30"/>
      <c r="G55" s="30"/>
    </row>
    <row r="56" spans="2:11" x14ac:dyDescent="0.2">
      <c r="C56" s="20"/>
      <c r="D56" s="20"/>
      <c r="E56" s="30"/>
      <c r="F56" s="30"/>
      <c r="G56" s="30"/>
    </row>
    <row r="57" spans="2:11" x14ac:dyDescent="0.2">
      <c r="C57" s="20"/>
      <c r="D57" s="20"/>
      <c r="E57" s="30"/>
      <c r="F57" s="30"/>
      <c r="G57" s="30"/>
    </row>
    <row r="58" spans="2:11" x14ac:dyDescent="0.2">
      <c r="C58" s="20"/>
      <c r="D58" s="20"/>
      <c r="E58" s="30"/>
      <c r="F58" s="30"/>
      <c r="G58" s="30"/>
    </row>
    <row r="59" spans="2:11" x14ac:dyDescent="0.2">
      <c r="C59" s="31"/>
      <c r="D59" s="31"/>
      <c r="E59" s="30"/>
      <c r="F59" s="30"/>
      <c r="G59" s="30"/>
      <c r="H59" s="32"/>
    </row>
    <row r="60" spans="2:11" x14ac:dyDescent="0.2">
      <c r="C60" s="31"/>
      <c r="D60" s="31"/>
      <c r="E60" s="30"/>
      <c r="F60" s="30"/>
      <c r="G60" s="30"/>
      <c r="H60" s="32"/>
    </row>
    <row r="61" spans="2:11" x14ac:dyDescent="0.2">
      <c r="C61" s="31"/>
      <c r="D61" s="31"/>
      <c r="E61" s="30"/>
      <c r="F61" s="30"/>
      <c r="G61" s="30"/>
      <c r="H61" s="32"/>
    </row>
    <row r="62" spans="2:11" x14ac:dyDescent="0.2">
      <c r="C62" s="31"/>
      <c r="D62" s="31"/>
      <c r="E62" s="30"/>
      <c r="F62" s="30"/>
      <c r="G62" s="30"/>
      <c r="H62" s="32"/>
    </row>
    <row r="63" spans="2:11" x14ac:dyDescent="0.2">
      <c r="C63" s="31"/>
      <c r="D63" s="31"/>
      <c r="E63" s="30"/>
      <c r="F63" s="30"/>
      <c r="G63" s="30"/>
      <c r="H63" s="32"/>
    </row>
    <row r="64" spans="2:11" x14ac:dyDescent="0.2">
      <c r="C64" s="31"/>
      <c r="D64" s="31"/>
      <c r="E64" s="30"/>
      <c r="F64" s="30"/>
      <c r="G64" s="30"/>
      <c r="H64" s="32"/>
    </row>
    <row r="65" spans="3:8" x14ac:dyDescent="0.2">
      <c r="C65" s="31"/>
      <c r="D65" s="31"/>
      <c r="E65" s="30"/>
      <c r="F65" s="30"/>
      <c r="G65" s="30"/>
      <c r="H65" s="32"/>
    </row>
    <row r="66" spans="3:8" x14ac:dyDescent="0.2">
      <c r="C66" s="31"/>
      <c r="D66" s="31"/>
      <c r="E66" s="30"/>
      <c r="F66" s="30"/>
      <c r="G66" s="30"/>
      <c r="H66" s="32"/>
    </row>
    <row r="67" spans="3:8" x14ac:dyDescent="0.2">
      <c r="C67" s="31"/>
      <c r="D67" s="31"/>
      <c r="E67" s="30"/>
      <c r="F67" s="30"/>
      <c r="G67" s="30"/>
      <c r="H67" s="32"/>
    </row>
    <row r="68" spans="3:8" x14ac:dyDescent="0.2">
      <c r="C68" s="31"/>
      <c r="D68" s="31"/>
      <c r="E68" s="30"/>
      <c r="F68" s="30"/>
      <c r="G68" s="30"/>
      <c r="H68" s="32"/>
    </row>
    <row r="69" spans="3:8" x14ac:dyDescent="0.2">
      <c r="C69" s="31"/>
      <c r="D69" s="31"/>
      <c r="E69" s="30"/>
      <c r="F69" s="30"/>
      <c r="G69" s="30"/>
      <c r="H69" s="32"/>
    </row>
    <row r="70" spans="3:8" x14ac:dyDescent="0.2">
      <c r="C70" s="31"/>
      <c r="D70" s="31"/>
      <c r="E70" s="30"/>
      <c r="F70" s="30"/>
      <c r="G70" s="30"/>
      <c r="H70" s="32"/>
    </row>
    <row r="71" spans="3:8" x14ac:dyDescent="0.2">
      <c r="C71" s="31"/>
      <c r="D71" s="31"/>
      <c r="E71" s="30"/>
      <c r="F71" s="30"/>
      <c r="G71" s="30"/>
      <c r="H71" s="32"/>
    </row>
    <row r="72" spans="3:8" x14ac:dyDescent="0.2">
      <c r="C72" s="31"/>
      <c r="D72" s="31"/>
      <c r="E72" s="30"/>
      <c r="F72" s="30"/>
      <c r="G72" s="30"/>
      <c r="H72" s="32"/>
    </row>
    <row r="73" spans="3:8" x14ac:dyDescent="0.2">
      <c r="C73" s="31"/>
      <c r="D73" s="31"/>
      <c r="E73" s="30"/>
      <c r="F73" s="30"/>
      <c r="G73" s="30"/>
      <c r="H73" s="32"/>
    </row>
    <row r="74" spans="3:8" x14ac:dyDescent="0.2">
      <c r="C74" s="31"/>
      <c r="D74" s="31"/>
      <c r="E74" s="30"/>
      <c r="F74" s="30"/>
      <c r="G74" s="30"/>
      <c r="H74" s="32"/>
    </row>
    <row r="75" spans="3:8" x14ac:dyDescent="0.2">
      <c r="C75" s="31"/>
      <c r="D75" s="31"/>
      <c r="E75" s="30"/>
      <c r="F75" s="30"/>
      <c r="G75" s="30"/>
      <c r="H75" s="32"/>
    </row>
    <row r="76" spans="3:8" x14ac:dyDescent="0.2">
      <c r="C76" s="31"/>
      <c r="D76" s="31"/>
      <c r="E76" s="30"/>
      <c r="F76" s="30"/>
      <c r="G76" s="30"/>
      <c r="H76" s="32"/>
    </row>
    <row r="77" spans="3:8" x14ac:dyDescent="0.2">
      <c r="C77" s="31"/>
      <c r="D77" s="31"/>
      <c r="E77" s="30"/>
      <c r="F77" s="30"/>
      <c r="G77" s="30"/>
      <c r="H77" s="32"/>
    </row>
    <row r="78" spans="3:8" x14ac:dyDescent="0.2">
      <c r="C78" s="31"/>
      <c r="D78" s="31"/>
      <c r="E78" s="30"/>
      <c r="F78" s="30"/>
      <c r="G78" s="30"/>
      <c r="H78" s="32"/>
    </row>
    <row r="79" spans="3:8" x14ac:dyDescent="0.2">
      <c r="C79" s="31"/>
      <c r="D79" s="31"/>
      <c r="E79" s="30"/>
      <c r="F79" s="30"/>
      <c r="G79" s="30"/>
      <c r="H79" s="32"/>
    </row>
    <row r="80" spans="3:8" x14ac:dyDescent="0.2">
      <c r="C80" s="31"/>
      <c r="D80" s="31"/>
      <c r="E80" s="30"/>
      <c r="F80" s="30"/>
      <c r="G80" s="30"/>
      <c r="H80" s="32"/>
    </row>
    <row r="81" spans="3:8" x14ac:dyDescent="0.2">
      <c r="C81" s="31"/>
      <c r="D81" s="31"/>
      <c r="E81" s="30"/>
      <c r="F81" s="30"/>
      <c r="G81" s="30"/>
      <c r="H81" s="32"/>
    </row>
    <row r="82" spans="3:8" x14ac:dyDescent="0.2">
      <c r="C82" s="31"/>
      <c r="D82" s="31"/>
      <c r="E82" s="30"/>
      <c r="F82" s="30"/>
      <c r="G82" s="30"/>
      <c r="H82" s="32"/>
    </row>
    <row r="83" spans="3:8" x14ac:dyDescent="0.2">
      <c r="C83" s="31"/>
      <c r="D83" s="31"/>
      <c r="E83" s="30"/>
      <c r="F83" s="30"/>
      <c r="G83" s="30"/>
      <c r="H83" s="32"/>
    </row>
    <row r="84" spans="3:8" x14ac:dyDescent="0.2">
      <c r="C84" s="31"/>
      <c r="D84" s="31"/>
      <c r="E84" s="30"/>
      <c r="F84" s="30"/>
      <c r="G84" s="30"/>
      <c r="H84" s="32"/>
    </row>
    <row r="85" spans="3:8" x14ac:dyDescent="0.2">
      <c r="C85" s="31"/>
      <c r="D85" s="31"/>
      <c r="E85" s="30"/>
      <c r="F85" s="30"/>
      <c r="G85" s="30"/>
      <c r="H85" s="32"/>
    </row>
    <row r="86" spans="3:8" x14ac:dyDescent="0.2">
      <c r="C86" s="31"/>
      <c r="D86" s="31"/>
      <c r="E86" s="30"/>
      <c r="F86" s="30"/>
      <c r="G86" s="30"/>
      <c r="H86" s="32"/>
    </row>
    <row r="87" spans="3:8" x14ac:dyDescent="0.2">
      <c r="C87" s="31"/>
      <c r="D87" s="31"/>
      <c r="E87" s="30"/>
      <c r="F87" s="30"/>
      <c r="G87" s="30"/>
      <c r="H87" s="32"/>
    </row>
    <row r="88" spans="3:8" x14ac:dyDescent="0.2">
      <c r="C88" s="31"/>
      <c r="D88" s="31"/>
      <c r="E88" s="30"/>
      <c r="F88" s="30"/>
      <c r="G88" s="30"/>
      <c r="H88" s="32"/>
    </row>
    <row r="89" spans="3:8" x14ac:dyDescent="0.2">
      <c r="C89" s="31"/>
      <c r="D89" s="31"/>
      <c r="E89" s="30"/>
      <c r="F89" s="30"/>
      <c r="G89" s="30"/>
      <c r="H89" s="32"/>
    </row>
    <row r="90" spans="3:8" x14ac:dyDescent="0.2">
      <c r="C90" s="31"/>
      <c r="D90" s="31"/>
      <c r="E90" s="30"/>
      <c r="F90" s="30"/>
      <c r="G90" s="30"/>
      <c r="H90" s="32"/>
    </row>
    <row r="91" spans="3:8" x14ac:dyDescent="0.2">
      <c r="C91" s="31"/>
      <c r="D91" s="31"/>
      <c r="E91" s="30"/>
      <c r="F91" s="30"/>
      <c r="G91" s="30"/>
      <c r="H91" s="32"/>
    </row>
    <row r="92" spans="3:8" x14ac:dyDescent="0.2">
      <c r="C92" s="31"/>
      <c r="D92" s="31"/>
      <c r="E92" s="30"/>
      <c r="F92" s="30"/>
      <c r="G92" s="30"/>
      <c r="H92" s="32"/>
    </row>
    <row r="93" spans="3:8" x14ac:dyDescent="0.2">
      <c r="C93" s="31"/>
      <c r="D93" s="31"/>
      <c r="E93" s="30"/>
      <c r="F93" s="30"/>
      <c r="G93" s="30"/>
      <c r="H93" s="32"/>
    </row>
    <row r="94" spans="3:8" x14ac:dyDescent="0.2">
      <c r="C94" s="31"/>
      <c r="D94" s="31"/>
      <c r="E94" s="30"/>
      <c r="F94" s="30"/>
      <c r="G94" s="30"/>
      <c r="H94" s="32"/>
    </row>
    <row r="95" spans="3:8" x14ac:dyDescent="0.2">
      <c r="C95" s="31"/>
      <c r="D95" s="31"/>
      <c r="E95" s="30"/>
      <c r="F95" s="30"/>
      <c r="G95" s="30"/>
      <c r="H95" s="32"/>
    </row>
    <row r="96" spans="3:8" x14ac:dyDescent="0.2">
      <c r="C96" s="31"/>
      <c r="D96" s="31"/>
      <c r="E96" s="30"/>
      <c r="F96" s="30"/>
      <c r="G96" s="30"/>
      <c r="H96" s="32"/>
    </row>
    <row r="97" spans="3:8" x14ac:dyDescent="0.2">
      <c r="C97" s="31"/>
      <c r="D97" s="31"/>
      <c r="E97" s="30"/>
      <c r="F97" s="30"/>
      <c r="G97" s="30"/>
      <c r="H97" s="32"/>
    </row>
    <row r="98" spans="3:8" x14ac:dyDescent="0.2">
      <c r="C98" s="31"/>
      <c r="D98" s="31"/>
      <c r="E98" s="30"/>
      <c r="F98" s="30"/>
      <c r="G98" s="30"/>
      <c r="H98" s="32"/>
    </row>
    <row r="99" spans="3:8" x14ac:dyDescent="0.2">
      <c r="C99" s="31"/>
      <c r="D99" s="31"/>
      <c r="E99" s="30"/>
      <c r="F99" s="30"/>
      <c r="G99" s="30"/>
      <c r="H99" s="32"/>
    </row>
    <row r="100" spans="3:8" x14ac:dyDescent="0.2">
      <c r="C100" s="31"/>
      <c r="D100" s="31"/>
      <c r="E100" s="30"/>
      <c r="F100" s="30"/>
      <c r="G100" s="30"/>
      <c r="H100" s="32"/>
    </row>
    <row r="101" spans="3:8" x14ac:dyDescent="0.2">
      <c r="C101" s="31"/>
      <c r="D101" s="31"/>
      <c r="E101" s="30"/>
      <c r="F101" s="30"/>
      <c r="G101" s="30"/>
      <c r="H101" s="32"/>
    </row>
    <row r="102" spans="3:8" x14ac:dyDescent="0.2">
      <c r="C102" s="31"/>
      <c r="D102" s="31"/>
      <c r="E102" s="30"/>
      <c r="F102" s="30"/>
      <c r="G102" s="30"/>
      <c r="H102" s="32"/>
    </row>
    <row r="103" spans="3:8" x14ac:dyDescent="0.2">
      <c r="C103" s="31"/>
      <c r="D103" s="31"/>
      <c r="E103" s="30"/>
      <c r="F103" s="30"/>
      <c r="G103" s="30"/>
      <c r="H103" s="32"/>
    </row>
    <row r="104" spans="3:8" x14ac:dyDescent="0.2">
      <c r="C104" s="33"/>
      <c r="D104" s="33"/>
      <c r="E104" s="33"/>
      <c r="F104" s="33"/>
      <c r="G104" s="33"/>
      <c r="H104" s="32"/>
    </row>
  </sheetData>
  <autoFilter ref="C6:M50" xr:uid="{00000000-0001-0000-0000-000000000000}">
    <filterColumn colId="4">
      <filters>
        <filter val="0,38"/>
        <filter val="0,46"/>
        <filter val="0,55"/>
        <filter val="0,58"/>
        <filter val="0,69"/>
        <filter val="0,73"/>
        <filter val="0,74"/>
        <filter val="0,77"/>
        <filter val="0,87"/>
        <filter val="0,92"/>
        <filter val="1,15"/>
        <filter val="1,52"/>
      </filters>
    </filterColumn>
  </autoFilter>
  <mergeCells count="21">
    <mergeCell ref="C20:C22"/>
    <mergeCell ref="D20:D22"/>
    <mergeCell ref="C1:G1"/>
    <mergeCell ref="C9:C10"/>
    <mergeCell ref="D9:D10"/>
    <mergeCell ref="C17:C18"/>
    <mergeCell ref="D17:D18"/>
    <mergeCell ref="C29:C30"/>
    <mergeCell ref="D29:D30"/>
    <mergeCell ref="C33:C35"/>
    <mergeCell ref="D33:D35"/>
    <mergeCell ref="C24:C28"/>
    <mergeCell ref="D24:D28"/>
    <mergeCell ref="C47:C49"/>
    <mergeCell ref="D47:D49"/>
    <mergeCell ref="C40:C41"/>
    <mergeCell ref="D40:D41"/>
    <mergeCell ref="C43:C44"/>
    <mergeCell ref="D43:D44"/>
    <mergeCell ref="C45:C46"/>
    <mergeCell ref="D45:D46"/>
  </mergeCells>
  <phoneticPr fontId="3" type="noConversion"/>
  <pageMargins left="0.7" right="0.7" top="0.75" bottom="0.75" header="0.3" footer="0.3"/>
  <pageSetup paperSize="9" orientation="portrait" r:id="rId1"/>
  <ignoredErrors>
    <ignoredError sqref="F39 G31 F25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65CAA-DA6B-4EDE-9BF9-A342AB04D1F9}">
  <sheetPr filterMode="1"/>
  <dimension ref="A1:M104"/>
  <sheetViews>
    <sheetView showGridLines="0" tabSelected="1" zoomScale="115" zoomScaleNormal="115" workbookViewId="0">
      <pane ySplit="4" topLeftCell="A5" activePane="bottomLeft" state="frozen"/>
      <selection pane="bottomLeft" activeCell="C59" sqref="C59"/>
    </sheetView>
  </sheetViews>
  <sheetFormatPr baseColWidth="10" defaultColWidth="9.140625" defaultRowHeight="11.25" x14ac:dyDescent="0.2"/>
  <cols>
    <col min="1" max="1" width="2.7109375" style="24" bestFit="1" customWidth="1"/>
    <col min="2" max="2" width="6.140625" style="24" bestFit="1" customWidth="1"/>
    <col min="3" max="3" width="14.85546875" style="3" bestFit="1" customWidth="1"/>
    <col min="4" max="4" width="8.28515625" style="3" hidden="1" customWidth="1"/>
    <col min="5" max="5" width="7.42578125" style="3" bestFit="1" customWidth="1"/>
    <col min="6" max="6" width="6" style="3" hidden="1" customWidth="1"/>
    <col min="7" max="7" width="7.140625" style="3" hidden="1" customWidth="1"/>
    <col min="8" max="8" width="6.85546875" style="2" bestFit="1" customWidth="1"/>
    <col min="9" max="9" width="7.28515625" style="2" bestFit="1" customWidth="1"/>
    <col min="10" max="10" width="59.42578125" style="2" customWidth="1"/>
    <col min="11" max="11" width="19.85546875" style="2" bestFit="1" customWidth="1"/>
    <col min="12" max="13" width="25.5703125" style="2" customWidth="1"/>
    <col min="14" max="16384" width="9.140625" style="3"/>
  </cols>
  <sheetData>
    <row r="1" spans="1:13" x14ac:dyDescent="0.2">
      <c r="C1" s="37" t="s">
        <v>20</v>
      </c>
      <c r="D1" s="37"/>
      <c r="E1" s="37"/>
      <c r="F1" s="37"/>
      <c r="G1" s="37"/>
    </row>
    <row r="2" spans="1:13" x14ac:dyDescent="0.2">
      <c r="A2" s="24" t="s">
        <v>18</v>
      </c>
      <c r="B2" s="5">
        <f>$G$2</f>
        <v>0.98573384108528739</v>
      </c>
      <c r="C2" s="8" t="s">
        <v>21</v>
      </c>
      <c r="D2" s="6">
        <v>93</v>
      </c>
      <c r="E2" s="9" t="s">
        <v>24</v>
      </c>
      <c r="F2" s="8" t="s">
        <v>18</v>
      </c>
      <c r="G2" s="7">
        <f>4*D3/(PI()*D2)</f>
        <v>0.98573384108528739</v>
      </c>
    </row>
    <row r="3" spans="1:13" x14ac:dyDescent="0.2">
      <c r="A3" s="24" t="s">
        <v>19</v>
      </c>
      <c r="B3" s="5">
        <f>$G$3</f>
        <v>4.5999999999999996</v>
      </c>
      <c r="C3" s="8" t="s">
        <v>22</v>
      </c>
      <c r="D3" s="6">
        <v>72</v>
      </c>
      <c r="E3" s="9" t="s">
        <v>24</v>
      </c>
      <c r="F3" s="8" t="s">
        <v>19</v>
      </c>
      <c r="G3" s="6">
        <f>$D$4</f>
        <v>4.5999999999999996</v>
      </c>
    </row>
    <row r="4" spans="1:13" x14ac:dyDescent="0.2">
      <c r="A4" s="6"/>
      <c r="B4" s="6"/>
      <c r="C4" s="8" t="s">
        <v>23</v>
      </c>
      <c r="D4" s="6">
        <v>4.5999999999999996</v>
      </c>
      <c r="E4" s="9" t="s">
        <v>25</v>
      </c>
      <c r="F4" s="6"/>
      <c r="G4" s="6"/>
    </row>
    <row r="6" spans="1:13" s="10" customFormat="1" x14ac:dyDescent="0.2">
      <c r="B6" s="10" t="s">
        <v>68</v>
      </c>
      <c r="C6" s="11" t="s">
        <v>0</v>
      </c>
      <c r="D6" s="11" t="s">
        <v>4</v>
      </c>
      <c r="E6" s="40" t="s">
        <v>1</v>
      </c>
      <c r="F6" s="12" t="s">
        <v>2</v>
      </c>
      <c r="G6" s="12" t="s">
        <v>3</v>
      </c>
      <c r="H6" s="40" t="s">
        <v>58</v>
      </c>
      <c r="I6" s="40" t="s">
        <v>59</v>
      </c>
      <c r="J6" s="13" t="s">
        <v>71</v>
      </c>
      <c r="K6" s="13" t="s">
        <v>8</v>
      </c>
      <c r="L6" s="13" t="s">
        <v>9</v>
      </c>
      <c r="M6" s="13" t="s">
        <v>11</v>
      </c>
    </row>
    <row r="7" spans="1:13" s="24" customFormat="1" hidden="1" x14ac:dyDescent="0.2">
      <c r="C7" s="15" t="s">
        <v>5</v>
      </c>
      <c r="D7" s="15">
        <v>1942</v>
      </c>
      <c r="E7" s="16">
        <f>0.45*$B$2</f>
        <v>0.44358022848837936</v>
      </c>
      <c r="F7" s="16">
        <f>0.83*$B$3</f>
        <v>3.8179999999999996</v>
      </c>
      <c r="G7" s="16" t="s">
        <v>6</v>
      </c>
      <c r="H7" s="4">
        <f t="shared" ref="H7:H44" si="0">E7/F7</f>
        <v>0.11618130657107895</v>
      </c>
      <c r="I7" s="4"/>
      <c r="J7" s="23" t="s">
        <v>10</v>
      </c>
    </row>
    <row r="8" spans="1:13" hidden="1" x14ac:dyDescent="0.2">
      <c r="C8" s="15" t="s">
        <v>26</v>
      </c>
      <c r="D8" s="15">
        <v>1956</v>
      </c>
      <c r="E8" s="16">
        <f>0.5*$B$2</f>
        <v>0.49286692054264369</v>
      </c>
      <c r="F8" s="16">
        <f>$B$3</f>
        <v>4.5999999999999996</v>
      </c>
      <c r="G8" s="16" t="s">
        <v>6</v>
      </c>
      <c r="H8" s="4">
        <f t="shared" si="0"/>
        <v>0.10714498272666167</v>
      </c>
      <c r="I8" s="4"/>
    </row>
    <row r="9" spans="1:13" hidden="1" x14ac:dyDescent="0.2">
      <c r="C9" s="34" t="s">
        <v>12</v>
      </c>
      <c r="D9" s="34">
        <v>1989</v>
      </c>
      <c r="E9" s="16">
        <f>0.5*$B$2</f>
        <v>0.49286692054264369</v>
      </c>
      <c r="F9" s="16">
        <f>0.43*$B$3</f>
        <v>1.9779999999999998</v>
      </c>
      <c r="G9" s="16" t="s">
        <v>6</v>
      </c>
      <c r="H9" s="4">
        <f t="shared" si="0"/>
        <v>0.24917437843409695</v>
      </c>
      <c r="I9" s="4"/>
    </row>
    <row r="10" spans="1:13" hidden="1" x14ac:dyDescent="0.2">
      <c r="C10" s="36"/>
      <c r="D10" s="36"/>
      <c r="E10" s="16">
        <f>0.33*$B$2</f>
        <v>0.32529216755814483</v>
      </c>
      <c r="F10" s="16">
        <f>2*$B$3</f>
        <v>9.1999999999999993</v>
      </c>
      <c r="G10" s="16" t="s">
        <v>6</v>
      </c>
      <c r="H10" s="4">
        <f t="shared" si="0"/>
        <v>3.5357844299798352E-2</v>
      </c>
      <c r="I10" s="4"/>
    </row>
    <row r="11" spans="1:13" hidden="1" x14ac:dyDescent="0.2">
      <c r="C11" s="15" t="s">
        <v>27</v>
      </c>
      <c r="D11" s="15">
        <v>1993</v>
      </c>
      <c r="E11" s="16">
        <f>0.36*$B$2</f>
        <v>0.35486418279070342</v>
      </c>
      <c r="F11" s="16">
        <f>5.25*$B$3</f>
        <v>24.15</v>
      </c>
      <c r="G11" s="16" t="s">
        <v>6</v>
      </c>
      <c r="H11" s="4">
        <f t="shared" si="0"/>
        <v>1.4694169059656457E-2</v>
      </c>
      <c r="I11" s="4"/>
    </row>
    <row r="12" spans="1:13" hidden="1" x14ac:dyDescent="0.2">
      <c r="C12" s="15" t="s">
        <v>28</v>
      </c>
      <c r="D12" s="15">
        <v>1993</v>
      </c>
      <c r="E12" s="16">
        <f>0.25*$B$2</f>
        <v>0.24643346027132185</v>
      </c>
      <c r="F12" s="16">
        <f>0.25*$B$3</f>
        <v>1.1499999999999999</v>
      </c>
      <c r="G12" s="16" t="s">
        <v>6</v>
      </c>
      <c r="H12" s="4">
        <f t="shared" si="0"/>
        <v>0.21428996545332335</v>
      </c>
      <c r="I12" s="4"/>
      <c r="J12" s="2" t="s">
        <v>29</v>
      </c>
    </row>
    <row r="13" spans="1:13" hidden="1" x14ac:dyDescent="0.2">
      <c r="C13" s="15" t="s">
        <v>30</v>
      </c>
      <c r="D13" s="15">
        <v>1994</v>
      </c>
      <c r="E13" s="16">
        <f>0.25*$B$2</f>
        <v>0.24643346027132185</v>
      </c>
      <c r="F13" s="16">
        <f>0.167*$B$3</f>
        <v>0.76819999999999999</v>
      </c>
      <c r="G13" s="16" t="s">
        <v>6</v>
      </c>
      <c r="H13" s="4">
        <f t="shared" si="0"/>
        <v>0.32079336145707088</v>
      </c>
      <c r="I13" s="4"/>
      <c r="J13" s="2" t="s">
        <v>29</v>
      </c>
    </row>
    <row r="14" spans="1:13" hidden="1" x14ac:dyDescent="0.2">
      <c r="C14" s="15" t="s">
        <v>13</v>
      </c>
      <c r="D14" s="15">
        <v>1994</v>
      </c>
      <c r="E14" s="16">
        <f>0.3571*$B$2</f>
        <v>0.35200555465155609</v>
      </c>
      <c r="F14" s="16">
        <f>$B$3</f>
        <v>4.5999999999999996</v>
      </c>
      <c r="G14" s="16" t="s">
        <v>6</v>
      </c>
      <c r="H14" s="4">
        <f t="shared" si="0"/>
        <v>7.6522946663381761E-2</v>
      </c>
      <c r="I14" s="4"/>
    </row>
    <row r="15" spans="1:13" hidden="1" x14ac:dyDescent="0.2">
      <c r="C15" s="15" t="s">
        <v>32</v>
      </c>
      <c r="D15" s="15">
        <v>1997</v>
      </c>
      <c r="E15" s="16">
        <f>0.59*$B$2</f>
        <v>0.58158296624031958</v>
      </c>
      <c r="F15" s="16">
        <f>0.81*$B$3</f>
        <v>3.726</v>
      </c>
      <c r="G15" s="16" t="s">
        <v>6</v>
      </c>
      <c r="H15" s="4">
        <f t="shared" si="0"/>
        <v>0.15608775261414912</v>
      </c>
      <c r="I15" s="4"/>
      <c r="J15" s="2" t="s">
        <v>31</v>
      </c>
    </row>
    <row r="16" spans="1:13" hidden="1" x14ac:dyDescent="0.2">
      <c r="C16" s="15" t="s">
        <v>15</v>
      </c>
      <c r="D16" s="15">
        <v>2001</v>
      </c>
      <c r="E16" s="16">
        <f>0.5*$B$2</f>
        <v>0.49286692054264369</v>
      </c>
      <c r="F16" s="16">
        <f>0.8*$B$3</f>
        <v>3.6799999999999997</v>
      </c>
      <c r="G16" s="16" t="s">
        <v>6</v>
      </c>
      <c r="H16" s="4">
        <f t="shared" si="0"/>
        <v>0.13393122840832711</v>
      </c>
      <c r="I16" s="4"/>
    </row>
    <row r="17" spans="2:11" hidden="1" x14ac:dyDescent="0.2">
      <c r="C17" s="38" t="s">
        <v>35</v>
      </c>
      <c r="D17" s="38">
        <v>2002</v>
      </c>
      <c r="E17" s="21">
        <f>0.3*$B$2</f>
        <v>0.29572015232558618</v>
      </c>
      <c r="F17" s="21">
        <f>(0.24+0.111*$B$2*$B$4)*$B$3</f>
        <v>1.1039999999999999</v>
      </c>
      <c r="G17" s="21" t="s">
        <v>6</v>
      </c>
      <c r="H17" s="4">
        <f t="shared" si="0"/>
        <v>0.26786245681665416</v>
      </c>
      <c r="I17" s="4"/>
      <c r="J17" s="19" t="s">
        <v>33</v>
      </c>
    </row>
    <row r="18" spans="2:11" hidden="1" x14ac:dyDescent="0.2">
      <c r="C18" s="39"/>
      <c r="D18" s="39"/>
      <c r="E18" s="21">
        <f>0.3*$B$2</f>
        <v>0.29572015232558618</v>
      </c>
      <c r="F18" s="21">
        <f>(0.27+0.054*$B$2*$B$4)*$B$3</f>
        <v>1.242</v>
      </c>
      <c r="G18" s="21" t="s">
        <v>6</v>
      </c>
      <c r="H18" s="4">
        <f t="shared" si="0"/>
        <v>0.23809996161480368</v>
      </c>
      <c r="I18" s="4"/>
      <c r="J18" s="19" t="s">
        <v>34</v>
      </c>
    </row>
    <row r="19" spans="2:11" ht="22.5" hidden="1" x14ac:dyDescent="0.2">
      <c r="B19" s="22"/>
      <c r="C19" s="18" t="s">
        <v>16</v>
      </c>
      <c r="D19" s="15">
        <v>1991</v>
      </c>
      <c r="E19" s="16">
        <f>0.25*$B$2</f>
        <v>0.24643346027132185</v>
      </c>
      <c r="F19" s="16">
        <f>0.2546*$B$3</f>
        <v>1.17116</v>
      </c>
      <c r="G19" s="16" t="s">
        <v>6</v>
      </c>
      <c r="H19" s="4">
        <f t="shared" si="0"/>
        <v>0.21041826929823582</v>
      </c>
      <c r="I19" s="4"/>
    </row>
    <row r="20" spans="2:11" hidden="1" x14ac:dyDescent="0.2">
      <c r="B20" s="22"/>
      <c r="C20" s="34" t="s">
        <v>36</v>
      </c>
      <c r="D20" s="34">
        <v>2001</v>
      </c>
      <c r="E20" s="16">
        <f>0.4*$B$2</f>
        <v>0.39429353643411497</v>
      </c>
      <c r="F20" s="16">
        <f>0.8*$B$3</f>
        <v>3.6799999999999997</v>
      </c>
      <c r="G20" s="16" t="s">
        <v>6</v>
      </c>
      <c r="H20" s="4">
        <f t="shared" si="0"/>
        <v>0.10714498272666169</v>
      </c>
      <c r="I20" s="4"/>
      <c r="J20" s="23" t="s">
        <v>10</v>
      </c>
    </row>
    <row r="21" spans="2:11" hidden="1" x14ac:dyDescent="0.2">
      <c r="B21" s="22"/>
      <c r="C21" s="35"/>
      <c r="D21" s="35"/>
      <c r="E21" s="16">
        <f>0.18*$B$2</f>
        <v>0.17743209139535171</v>
      </c>
      <c r="F21" s="16">
        <f t="shared" ref="F21:F22" si="1">0.8*$B$3</f>
        <v>3.6799999999999997</v>
      </c>
      <c r="G21" s="16" t="s">
        <v>6</v>
      </c>
      <c r="H21" s="4">
        <f t="shared" si="0"/>
        <v>4.8215242226997752E-2</v>
      </c>
      <c r="I21" s="4"/>
      <c r="J21" s="2" t="s">
        <v>37</v>
      </c>
    </row>
    <row r="22" spans="2:11" hidden="1" x14ac:dyDescent="0.2">
      <c r="B22" s="22"/>
      <c r="C22" s="36"/>
      <c r="D22" s="36"/>
      <c r="E22" s="16">
        <f>0.13*$B$2</f>
        <v>0.12814539934108737</v>
      </c>
      <c r="F22" s="16">
        <f t="shared" si="1"/>
        <v>3.6799999999999997</v>
      </c>
      <c r="G22" s="16" t="s">
        <v>6</v>
      </c>
      <c r="H22" s="4">
        <f t="shared" si="0"/>
        <v>3.482211938616505E-2</v>
      </c>
      <c r="I22" s="4"/>
      <c r="J22" s="2" t="s">
        <v>38</v>
      </c>
    </row>
    <row r="23" spans="2:11" ht="22.5" hidden="1" x14ac:dyDescent="0.2">
      <c r="C23" s="18" t="s">
        <v>39</v>
      </c>
      <c r="D23" s="15">
        <v>2002</v>
      </c>
      <c r="E23" s="16">
        <f>0.3*$B$2</f>
        <v>0.29572015232558618</v>
      </c>
      <c r="F23" s="16">
        <f>1.6*$B$3</f>
        <v>7.3599999999999994</v>
      </c>
      <c r="G23" s="16" t="s">
        <v>6</v>
      </c>
      <c r="H23" s="4">
        <f t="shared" si="0"/>
        <v>4.0179368522498128E-2</v>
      </c>
      <c r="I23" s="4"/>
    </row>
    <row r="24" spans="2:11" x14ac:dyDescent="0.2">
      <c r="B24" s="13"/>
      <c r="C24" s="34" t="s">
        <v>5</v>
      </c>
      <c r="D24" s="34">
        <v>1942</v>
      </c>
      <c r="E24" s="41">
        <f>0.6*$B$2</f>
        <v>0.59144030465117237</v>
      </c>
      <c r="F24" s="16">
        <f>0.5*$B$3</f>
        <v>2.2999999999999998</v>
      </c>
      <c r="G24" s="16">
        <f>0.125*$B$3</f>
        <v>0.57499999999999996</v>
      </c>
      <c r="H24" s="41">
        <f t="shared" si="0"/>
        <v>0.25714795854398803</v>
      </c>
      <c r="I24" s="41">
        <f t="shared" ref="I24:I44" si="2">E24*G24</f>
        <v>0.34007817517442407</v>
      </c>
      <c r="J24" s="42" t="s">
        <v>63</v>
      </c>
      <c r="K24" s="23"/>
    </row>
    <row r="25" spans="2:11" x14ac:dyDescent="0.2">
      <c r="B25" s="13"/>
      <c r="C25" s="35"/>
      <c r="D25" s="35"/>
      <c r="E25" s="41">
        <f>0.7*$B$2</f>
        <v>0.69001368875970115</v>
      </c>
      <c r="F25" s="16">
        <f>0.4*$B$3</f>
        <v>1.8399999999999999</v>
      </c>
      <c r="G25" s="16">
        <f>0.15*$B$3</f>
        <v>0.69</v>
      </c>
      <c r="H25" s="41">
        <f t="shared" si="0"/>
        <v>0.37500743954331589</v>
      </c>
      <c r="I25" s="41">
        <f t="shared" si="2"/>
        <v>0.47610944524419374</v>
      </c>
      <c r="J25" s="42" t="s">
        <v>63</v>
      </c>
      <c r="K25" s="23"/>
    </row>
    <row r="26" spans="2:11" x14ac:dyDescent="0.2">
      <c r="B26" s="13"/>
      <c r="C26" s="35"/>
      <c r="D26" s="35"/>
      <c r="E26" s="41">
        <f>0.33*$B$2</f>
        <v>0.32529216755814483</v>
      </c>
      <c r="F26" s="16">
        <f>0.5*$B$3</f>
        <v>2.2999999999999998</v>
      </c>
      <c r="G26" s="16">
        <f>0.33*$B$3</f>
        <v>1.518</v>
      </c>
      <c r="H26" s="41">
        <f t="shared" si="0"/>
        <v>0.14143137719919341</v>
      </c>
      <c r="I26" s="41">
        <f t="shared" si="2"/>
        <v>0.49379351035326385</v>
      </c>
      <c r="J26" s="42" t="s">
        <v>63</v>
      </c>
      <c r="K26" s="23"/>
    </row>
    <row r="27" spans="2:11" x14ac:dyDescent="0.2">
      <c r="B27" s="13"/>
      <c r="C27" s="35"/>
      <c r="D27" s="35"/>
      <c r="E27" s="41">
        <f>0.2*$B$2</f>
        <v>0.19714676821705748</v>
      </c>
      <c r="F27" s="16">
        <f>0.5*$B$3</f>
        <v>2.2999999999999998</v>
      </c>
      <c r="G27" s="16">
        <f>0.33*$B$3</f>
        <v>1.518</v>
      </c>
      <c r="H27" s="41">
        <f t="shared" si="0"/>
        <v>8.5715986181329348E-2</v>
      </c>
      <c r="I27" s="41">
        <f t="shared" si="2"/>
        <v>0.29926879415349328</v>
      </c>
      <c r="J27" s="45" t="s">
        <v>64</v>
      </c>
      <c r="K27" s="23"/>
    </row>
    <row r="28" spans="2:11" x14ac:dyDescent="0.2">
      <c r="B28" s="13"/>
      <c r="C28" s="36"/>
      <c r="D28" s="36"/>
      <c r="E28" s="41">
        <f>$B$2</f>
        <v>0.98573384108528739</v>
      </c>
      <c r="F28" s="16">
        <f>0.5*$B$3</f>
        <v>2.2999999999999998</v>
      </c>
      <c r="G28" s="16">
        <f>0.125*$B$3</f>
        <v>0.57499999999999996</v>
      </c>
      <c r="H28" s="41">
        <f t="shared" si="0"/>
        <v>0.4285799309066467</v>
      </c>
      <c r="I28" s="41">
        <f t="shared" si="2"/>
        <v>0.56679695862404023</v>
      </c>
      <c r="J28" s="43" t="s">
        <v>67</v>
      </c>
      <c r="K28" s="23"/>
    </row>
    <row r="29" spans="2:11" x14ac:dyDescent="0.2">
      <c r="B29" s="13"/>
      <c r="C29" s="34" t="s">
        <v>40</v>
      </c>
      <c r="D29" s="34">
        <v>1950</v>
      </c>
      <c r="E29" s="41">
        <f>0.33*$B$2</f>
        <v>0.32529216755814483</v>
      </c>
      <c r="F29" s="16">
        <f>$B$3</f>
        <v>4.5999999999999996</v>
      </c>
      <c r="G29" s="16">
        <f>0.1*$B$3</f>
        <v>0.45999999999999996</v>
      </c>
      <c r="H29" s="41">
        <f t="shared" si="0"/>
        <v>7.0715688599596704E-2</v>
      </c>
      <c r="I29" s="41">
        <f t="shared" si="2"/>
        <v>0.14963439707674661</v>
      </c>
      <c r="J29" s="45" t="s">
        <v>64</v>
      </c>
    </row>
    <row r="30" spans="2:11" x14ac:dyDescent="0.2">
      <c r="B30" s="13"/>
      <c r="C30" s="36"/>
      <c r="D30" s="36"/>
      <c r="E30" s="41">
        <f>0.5*$B$2</f>
        <v>0.49286692054264369</v>
      </c>
      <c r="F30" s="16">
        <f>$B$3</f>
        <v>4.5999999999999996</v>
      </c>
      <c r="G30" s="16">
        <f>0.25*$B$3</f>
        <v>1.1499999999999999</v>
      </c>
      <c r="H30" s="41">
        <f t="shared" si="0"/>
        <v>0.10714498272666167</v>
      </c>
      <c r="I30" s="41">
        <f t="shared" si="2"/>
        <v>0.56679695862404023</v>
      </c>
      <c r="J30" s="42" t="s">
        <v>63</v>
      </c>
    </row>
    <row r="31" spans="2:11" x14ac:dyDescent="0.2">
      <c r="B31" s="13"/>
      <c r="C31" s="18" t="s">
        <v>73</v>
      </c>
      <c r="D31" s="15">
        <v>1967</v>
      </c>
      <c r="E31" s="41">
        <f>0.54*$B$2</f>
        <v>0.53229627418605518</v>
      </c>
      <c r="F31" s="16">
        <f>$B$3</f>
        <v>4.5999999999999996</v>
      </c>
      <c r="G31" s="16">
        <f>0.2*$B$3</f>
        <v>0.91999999999999993</v>
      </c>
      <c r="H31" s="41">
        <f t="shared" si="0"/>
        <v>0.11571658134479461</v>
      </c>
      <c r="I31" s="41">
        <f t="shared" si="2"/>
        <v>0.48971257225117071</v>
      </c>
      <c r="J31" s="42" t="s">
        <v>63</v>
      </c>
    </row>
    <row r="32" spans="2:11" x14ac:dyDescent="0.2">
      <c r="B32" s="13"/>
      <c r="C32" s="15" t="s">
        <v>42</v>
      </c>
      <c r="D32" s="15">
        <v>1968</v>
      </c>
      <c r="E32" s="41">
        <f>0.25*$B$2</f>
        <v>0.24643346027132185</v>
      </c>
      <c r="F32" s="16">
        <f>0.75*$B$3</f>
        <v>3.4499999999999997</v>
      </c>
      <c r="G32" s="16">
        <f>0.25*$B$3</f>
        <v>1.1499999999999999</v>
      </c>
      <c r="H32" s="41">
        <f t="shared" si="0"/>
        <v>7.1429988484441126E-2</v>
      </c>
      <c r="I32" s="41">
        <f t="shared" si="2"/>
        <v>0.28339847931202011</v>
      </c>
      <c r="J32" s="45" t="s">
        <v>64</v>
      </c>
    </row>
    <row r="33" spans="2:10" x14ac:dyDescent="0.2">
      <c r="B33" s="13"/>
      <c r="C33" s="34" t="s">
        <v>44</v>
      </c>
      <c r="D33" s="34">
        <v>1987</v>
      </c>
      <c r="E33" s="41">
        <f>$B$2</f>
        <v>0.98573384108528739</v>
      </c>
      <c r="F33" s="16">
        <f>0.5*$B$3</f>
        <v>2.2999999999999998</v>
      </c>
      <c r="G33" s="16">
        <f>0.125*$B$3</f>
        <v>0.57499999999999996</v>
      </c>
      <c r="H33" s="41">
        <f t="shared" si="0"/>
        <v>0.4285799309066467</v>
      </c>
      <c r="I33" s="41">
        <f t="shared" si="2"/>
        <v>0.56679695862404023</v>
      </c>
      <c r="J33" s="43" t="s">
        <v>67</v>
      </c>
    </row>
    <row r="34" spans="2:10" x14ac:dyDescent="0.2">
      <c r="B34" s="13"/>
      <c r="C34" s="35"/>
      <c r="D34" s="35"/>
      <c r="E34" s="41">
        <f>0.6667*$B$2</f>
        <v>0.65718875185156111</v>
      </c>
      <c r="F34" s="16">
        <f>$B$3</f>
        <v>4.5999999999999996</v>
      </c>
      <c r="G34" s="16">
        <f>0.167*$B$3</f>
        <v>0.76819999999999999</v>
      </c>
      <c r="H34" s="41">
        <f t="shared" si="0"/>
        <v>0.14286711996773069</v>
      </c>
      <c r="I34" s="41">
        <f t="shared" si="2"/>
        <v>0.50485239917236924</v>
      </c>
      <c r="J34" s="42" t="s">
        <v>63</v>
      </c>
    </row>
    <row r="35" spans="2:10" x14ac:dyDescent="0.2">
      <c r="B35" s="13" t="s">
        <v>69</v>
      </c>
      <c r="C35" s="36"/>
      <c r="D35" s="36"/>
      <c r="E35" s="41">
        <f>0.5*$B$2</f>
        <v>0.49286692054264369</v>
      </c>
      <c r="F35" s="16">
        <f>1.5*$B$3</f>
        <v>6.8999999999999995</v>
      </c>
      <c r="G35" s="16">
        <f>0.167*$B$3</f>
        <v>0.76819999999999999</v>
      </c>
      <c r="H35" s="41">
        <f t="shared" si="0"/>
        <v>7.1429988484441126E-2</v>
      </c>
      <c r="I35" s="41">
        <f t="shared" si="2"/>
        <v>0.37862036836085888</v>
      </c>
      <c r="J35" s="46" t="s">
        <v>66</v>
      </c>
    </row>
    <row r="36" spans="2:10" x14ac:dyDescent="0.2">
      <c r="B36" s="13" t="s">
        <v>72</v>
      </c>
      <c r="C36" s="15" t="s">
        <v>48</v>
      </c>
      <c r="D36" s="15">
        <v>1989</v>
      </c>
      <c r="E36" s="41">
        <f>0.4444*$B$2</f>
        <v>0.43806011897830172</v>
      </c>
      <c r="F36" s="16">
        <f>0.6*$B$3</f>
        <v>2.76</v>
      </c>
      <c r="G36" s="16">
        <f>0.19*$B$3</f>
        <v>0.87399999999999989</v>
      </c>
      <c r="H36" s="41">
        <f t="shared" si="0"/>
        <v>0.15871743441242817</v>
      </c>
      <c r="I36" s="41">
        <f t="shared" si="2"/>
        <v>0.38286454398703568</v>
      </c>
      <c r="J36" s="46" t="s">
        <v>66</v>
      </c>
    </row>
    <row r="37" spans="2:10" x14ac:dyDescent="0.2">
      <c r="B37" s="13"/>
      <c r="C37" s="15" t="s">
        <v>50</v>
      </c>
      <c r="D37" s="15">
        <v>1990</v>
      </c>
      <c r="E37" s="41">
        <f>0.75*$B$2</f>
        <v>0.73930038081396554</v>
      </c>
      <c r="F37" s="16">
        <f>0.63*$B$3</f>
        <v>2.8979999999999997</v>
      </c>
      <c r="G37" s="16">
        <f>0.1*$B$3</f>
        <v>0.45999999999999996</v>
      </c>
      <c r="H37" s="41">
        <f t="shared" si="0"/>
        <v>0.25510710173014689</v>
      </c>
      <c r="I37" s="41">
        <f t="shared" si="2"/>
        <v>0.34007817517442412</v>
      </c>
      <c r="J37" s="42" t="s">
        <v>63</v>
      </c>
    </row>
    <row r="38" spans="2:10" x14ac:dyDescent="0.2">
      <c r="B38" s="13"/>
      <c r="C38" s="15" t="s">
        <v>15</v>
      </c>
      <c r="D38" s="15">
        <v>1996</v>
      </c>
      <c r="E38" s="41">
        <f>0.625*$B$2</f>
        <v>0.61608365067830462</v>
      </c>
      <c r="F38" s="16">
        <f>0.5*$B$3</f>
        <v>2.2999999999999998</v>
      </c>
      <c r="G38" s="16">
        <f>0.083*$B$3</f>
        <v>0.38179999999999997</v>
      </c>
      <c r="H38" s="41">
        <f t="shared" si="0"/>
        <v>0.26786245681665422</v>
      </c>
      <c r="I38" s="41">
        <f t="shared" si="2"/>
        <v>0.23522073782897668</v>
      </c>
      <c r="J38" s="42" t="s">
        <v>63</v>
      </c>
    </row>
    <row r="39" spans="2:10" x14ac:dyDescent="0.2">
      <c r="B39" s="13" t="s">
        <v>70</v>
      </c>
      <c r="C39" s="15" t="s">
        <v>52</v>
      </c>
      <c r="D39" s="15">
        <v>1992</v>
      </c>
      <c r="E39" s="41">
        <f>0.46*$B$2</f>
        <v>0.4534375668992322</v>
      </c>
      <c r="F39" s="16">
        <f>2.2*$B$3</f>
        <v>10.119999999999999</v>
      </c>
      <c r="G39" s="16">
        <f>0.16*$B$3</f>
        <v>0.73599999999999999</v>
      </c>
      <c r="H39" s="41">
        <f t="shared" si="0"/>
        <v>4.4806083685694886E-2</v>
      </c>
      <c r="I39" s="41">
        <f t="shared" si="2"/>
        <v>0.33373004923783489</v>
      </c>
      <c r="J39" s="46" t="s">
        <v>66</v>
      </c>
    </row>
    <row r="40" spans="2:10" x14ac:dyDescent="0.2">
      <c r="B40" s="13"/>
      <c r="C40" s="34" t="s">
        <v>53</v>
      </c>
      <c r="D40" s="34">
        <v>1999</v>
      </c>
      <c r="E40" s="41">
        <f>0.33*$B$2</f>
        <v>0.32529216755814483</v>
      </c>
      <c r="F40" s="16">
        <f>0.5*$B$3</f>
        <v>2.2999999999999998</v>
      </c>
      <c r="G40" s="16">
        <f>0.125*$B$3</f>
        <v>0.57499999999999996</v>
      </c>
      <c r="H40" s="41">
        <f t="shared" si="0"/>
        <v>0.14143137719919341</v>
      </c>
      <c r="I40" s="41">
        <f t="shared" si="2"/>
        <v>0.18704299634593327</v>
      </c>
      <c r="J40" s="45" t="s">
        <v>64</v>
      </c>
    </row>
    <row r="41" spans="2:10" x14ac:dyDescent="0.2">
      <c r="B41" s="13"/>
      <c r="C41" s="36"/>
      <c r="D41" s="36"/>
      <c r="E41" s="41">
        <f>0.2*$B$2</f>
        <v>0.19714676821705748</v>
      </c>
      <c r="F41" s="16">
        <f>0.5*$B$3</f>
        <v>2.2999999999999998</v>
      </c>
      <c r="G41" s="16">
        <f>0.125*$B$3</f>
        <v>0.57499999999999996</v>
      </c>
      <c r="H41" s="41">
        <f t="shared" si="0"/>
        <v>8.5715986181329348E-2</v>
      </c>
      <c r="I41" s="41">
        <f t="shared" si="2"/>
        <v>0.11335939172480805</v>
      </c>
      <c r="J41" s="45" t="s">
        <v>64</v>
      </c>
    </row>
    <row r="42" spans="2:10" x14ac:dyDescent="0.2">
      <c r="B42" s="13"/>
      <c r="C42" s="15" t="s">
        <v>14</v>
      </c>
      <c r="D42" s="15">
        <v>2003</v>
      </c>
      <c r="E42" s="41">
        <f>0.75*$B$2</f>
        <v>0.73930038081396554</v>
      </c>
      <c r="F42" s="16">
        <f>0.625*$B$3</f>
        <v>2.875</v>
      </c>
      <c r="G42" s="16">
        <f>0.1*$B$3</f>
        <v>0.45999999999999996</v>
      </c>
      <c r="H42" s="41">
        <f t="shared" si="0"/>
        <v>0.25714795854398803</v>
      </c>
      <c r="I42" s="41">
        <f t="shared" si="2"/>
        <v>0.34007817517442412</v>
      </c>
      <c r="J42" s="42" t="s">
        <v>63</v>
      </c>
    </row>
    <row r="43" spans="2:10" x14ac:dyDescent="0.2">
      <c r="B43" s="13"/>
      <c r="C43" s="34" t="s">
        <v>17</v>
      </c>
      <c r="D43" s="34">
        <v>2005</v>
      </c>
      <c r="E43" s="41">
        <f>$B$2</f>
        <v>0.98573384108528739</v>
      </c>
      <c r="F43" s="16">
        <f>0.625*$B$3</f>
        <v>2.875</v>
      </c>
      <c r="G43" s="16">
        <f>0.1*$B$3</f>
        <v>0.45999999999999996</v>
      </c>
      <c r="H43" s="41">
        <f t="shared" si="0"/>
        <v>0.34286394472531734</v>
      </c>
      <c r="I43" s="41">
        <f t="shared" si="2"/>
        <v>0.45343756689923215</v>
      </c>
      <c r="J43" s="43" t="s">
        <v>67</v>
      </c>
    </row>
    <row r="44" spans="2:10" x14ac:dyDescent="0.2">
      <c r="B44" s="13"/>
      <c r="C44" s="36"/>
      <c r="D44" s="36"/>
      <c r="E44" s="41">
        <f>1.67*$B$2</f>
        <v>1.6461755146124299</v>
      </c>
      <c r="F44" s="16">
        <f>0.625*$B$3</f>
        <v>2.875</v>
      </c>
      <c r="G44" s="16">
        <f>0.1*$B$3</f>
        <v>0.45999999999999996</v>
      </c>
      <c r="H44" s="41">
        <f t="shared" si="0"/>
        <v>0.57258278769128002</v>
      </c>
      <c r="I44" s="41">
        <f t="shared" si="2"/>
        <v>0.75724073672171777</v>
      </c>
      <c r="J44" s="43" t="s">
        <v>67</v>
      </c>
    </row>
    <row r="45" spans="2:10" x14ac:dyDescent="0.2">
      <c r="B45" s="44"/>
      <c r="C45" s="34" t="s">
        <v>55</v>
      </c>
      <c r="D45" s="34">
        <v>1994</v>
      </c>
      <c r="E45" s="41">
        <f>0.4*$B$2</f>
        <v>0.39429353643411497</v>
      </c>
      <c r="F45" s="16">
        <f>0.3333*$B$3</f>
        <v>1.5331799999999998</v>
      </c>
      <c r="G45" s="16">
        <f>0.083*$B$3</f>
        <v>0.38179999999999997</v>
      </c>
      <c r="H45" s="41">
        <f>E45/F45</f>
        <v>0.25717367591157919</v>
      </c>
      <c r="I45" s="41">
        <f>E45*G45</f>
        <v>0.15054127221054509</v>
      </c>
      <c r="J45" s="45" t="s">
        <v>64</v>
      </c>
    </row>
    <row r="46" spans="2:10" x14ac:dyDescent="0.2">
      <c r="B46" s="44"/>
      <c r="C46" s="36"/>
      <c r="D46" s="36"/>
      <c r="E46" s="41">
        <f>0.4*$B$2</f>
        <v>0.39429353643411497</v>
      </c>
      <c r="F46" s="16">
        <f>$B$3</f>
        <v>4.5999999999999996</v>
      </c>
      <c r="G46" s="16">
        <f>0.159*$B$3</f>
        <v>0.73139999999999994</v>
      </c>
      <c r="H46" s="41">
        <f t="shared" ref="H46:H49" si="3">E46/F46</f>
        <v>8.5715986181329348E-2</v>
      </c>
      <c r="I46" s="41">
        <f t="shared" ref="I46:I49" si="4">E46*G46</f>
        <v>0.28838629254791165</v>
      </c>
      <c r="J46" s="45" t="s">
        <v>64</v>
      </c>
    </row>
    <row r="47" spans="2:10" x14ac:dyDescent="0.2">
      <c r="B47" s="44"/>
      <c r="C47" s="34" t="s">
        <v>36</v>
      </c>
      <c r="D47" s="34">
        <v>2001</v>
      </c>
      <c r="E47" s="41">
        <f>0.6*$B$2</f>
        <v>0.59144030465117237</v>
      </c>
      <c r="F47" s="16">
        <f>0.5*$B$3</f>
        <v>2.2999999999999998</v>
      </c>
      <c r="G47" s="16">
        <f>0.12*$B$3</f>
        <v>0.55199999999999994</v>
      </c>
      <c r="H47" s="41">
        <f t="shared" si="3"/>
        <v>0.25714795854398803</v>
      </c>
      <c r="I47" s="41">
        <f t="shared" si="4"/>
        <v>0.3264750481674471</v>
      </c>
      <c r="J47" s="47" t="s">
        <v>65</v>
      </c>
    </row>
    <row r="48" spans="2:10" x14ac:dyDescent="0.2">
      <c r="B48" s="44"/>
      <c r="C48" s="35"/>
      <c r="D48" s="35"/>
      <c r="E48" s="41">
        <f>0.25*$B$2</f>
        <v>0.24643346027132185</v>
      </c>
      <c r="F48" s="16">
        <f>0.5*$B$3</f>
        <v>2.2999999999999998</v>
      </c>
      <c r="G48" s="16">
        <f>0.12*$B$3</f>
        <v>0.55199999999999994</v>
      </c>
      <c r="H48" s="41">
        <f t="shared" si="3"/>
        <v>0.10714498272666167</v>
      </c>
      <c r="I48" s="41">
        <f t="shared" si="4"/>
        <v>0.13603127006976964</v>
      </c>
      <c r="J48" s="45" t="s">
        <v>64</v>
      </c>
    </row>
    <row r="49" spans="2:10" x14ac:dyDescent="0.2">
      <c r="B49" s="44"/>
      <c r="C49" s="36"/>
      <c r="D49" s="36"/>
      <c r="E49" s="41">
        <f>0.15*$B$2</f>
        <v>0.14786007616279309</v>
      </c>
      <c r="F49" s="16">
        <f>0.5*$B$3</f>
        <v>2.2999999999999998</v>
      </c>
      <c r="G49" s="16">
        <f>0.12*$B$3</f>
        <v>0.55199999999999994</v>
      </c>
      <c r="H49" s="41">
        <f t="shared" si="3"/>
        <v>6.4286989635997008E-2</v>
      </c>
      <c r="I49" s="41">
        <f t="shared" si="4"/>
        <v>8.1618762041861775E-2</v>
      </c>
      <c r="J49" s="45" t="s">
        <v>64</v>
      </c>
    </row>
    <row r="50" spans="2:10" hidden="1" x14ac:dyDescent="0.2">
      <c r="C50" s="25" t="s">
        <v>52</v>
      </c>
      <c r="D50" s="25">
        <v>1992</v>
      </c>
      <c r="E50" s="29">
        <f>0.31*$B$2</f>
        <v>0.30557749073643908</v>
      </c>
      <c r="F50" s="29">
        <f>2.2*$B$3</f>
        <v>10.119999999999999</v>
      </c>
      <c r="G50" s="29" t="s">
        <v>6</v>
      </c>
      <c r="H50" s="14"/>
      <c r="I50" s="14"/>
      <c r="J50" s="14"/>
    </row>
    <row r="51" spans="2:10" x14ac:dyDescent="0.2">
      <c r="C51" s="20"/>
      <c r="D51" s="20"/>
      <c r="E51" s="30"/>
      <c r="F51" s="30"/>
      <c r="G51" s="30"/>
    </row>
    <row r="52" spans="2:10" x14ac:dyDescent="0.2">
      <c r="C52" s="20"/>
      <c r="D52" s="20"/>
      <c r="E52" s="30"/>
      <c r="F52" s="30"/>
      <c r="G52" s="30"/>
    </row>
    <row r="53" spans="2:10" x14ac:dyDescent="0.2">
      <c r="C53" s="20"/>
      <c r="D53" s="20"/>
      <c r="E53" s="30"/>
      <c r="F53" s="30"/>
      <c r="G53" s="30"/>
    </row>
    <row r="54" spans="2:10" x14ac:dyDescent="0.2">
      <c r="C54" s="20"/>
      <c r="D54" s="20"/>
      <c r="E54" s="30"/>
      <c r="F54" s="30"/>
      <c r="G54" s="30"/>
    </row>
    <row r="55" spans="2:10" x14ac:dyDescent="0.2">
      <c r="C55" s="20"/>
      <c r="D55" s="20"/>
      <c r="E55" s="30"/>
      <c r="F55" s="30"/>
      <c r="G55" s="30"/>
    </row>
    <row r="56" spans="2:10" x14ac:dyDescent="0.2">
      <c r="C56" s="20"/>
      <c r="D56" s="20"/>
      <c r="E56" s="30"/>
      <c r="F56" s="30"/>
      <c r="G56" s="30"/>
    </row>
    <row r="57" spans="2:10" x14ac:dyDescent="0.2">
      <c r="C57" s="20"/>
      <c r="D57" s="20"/>
      <c r="E57" s="30"/>
      <c r="F57" s="30"/>
      <c r="G57" s="30"/>
    </row>
    <row r="58" spans="2:10" x14ac:dyDescent="0.2">
      <c r="C58" s="20"/>
      <c r="D58" s="20"/>
      <c r="E58" s="30"/>
      <c r="F58" s="30"/>
      <c r="G58" s="30"/>
    </row>
    <row r="59" spans="2:10" x14ac:dyDescent="0.2">
      <c r="C59" s="31"/>
      <c r="D59" s="31"/>
      <c r="E59" s="30"/>
      <c r="F59" s="30"/>
      <c r="G59" s="30"/>
      <c r="H59" s="32"/>
    </row>
    <row r="60" spans="2:10" x14ac:dyDescent="0.2">
      <c r="C60" s="31"/>
      <c r="D60" s="31"/>
      <c r="E60" s="30"/>
      <c r="F60" s="30"/>
      <c r="G60" s="30"/>
      <c r="H60" s="32"/>
    </row>
    <row r="61" spans="2:10" x14ac:dyDescent="0.2">
      <c r="C61" s="31"/>
      <c r="D61" s="31"/>
      <c r="E61" s="30"/>
      <c r="F61" s="30"/>
      <c r="G61" s="30"/>
      <c r="H61" s="32"/>
    </row>
    <row r="62" spans="2:10" x14ac:dyDescent="0.2">
      <c r="C62" s="31"/>
      <c r="D62" s="31"/>
      <c r="E62" s="30"/>
      <c r="F62" s="30"/>
      <c r="G62" s="30"/>
      <c r="H62" s="32"/>
    </row>
    <row r="63" spans="2:10" x14ac:dyDescent="0.2">
      <c r="C63" s="31"/>
      <c r="D63" s="31"/>
      <c r="E63" s="30"/>
      <c r="F63" s="30"/>
      <c r="G63" s="30"/>
      <c r="H63" s="32"/>
    </row>
    <row r="64" spans="2:10" x14ac:dyDescent="0.2">
      <c r="C64" s="31"/>
      <c r="D64" s="31"/>
      <c r="E64" s="30"/>
      <c r="F64" s="30"/>
      <c r="G64" s="30"/>
      <c r="H64" s="32"/>
    </row>
    <row r="65" spans="3:8" x14ac:dyDescent="0.2">
      <c r="C65" s="31"/>
      <c r="D65" s="31"/>
      <c r="E65" s="30"/>
      <c r="F65" s="30"/>
      <c r="G65" s="30"/>
      <c r="H65" s="32"/>
    </row>
    <row r="66" spans="3:8" x14ac:dyDescent="0.2">
      <c r="C66" s="31"/>
      <c r="D66" s="31"/>
      <c r="E66" s="30"/>
      <c r="F66" s="30"/>
      <c r="G66" s="30"/>
      <c r="H66" s="32"/>
    </row>
    <row r="67" spans="3:8" x14ac:dyDescent="0.2">
      <c r="C67" s="31"/>
      <c r="D67" s="31"/>
      <c r="E67" s="30"/>
      <c r="F67" s="30"/>
      <c r="G67" s="30"/>
      <c r="H67" s="32"/>
    </row>
    <row r="68" spans="3:8" x14ac:dyDescent="0.2">
      <c r="C68" s="31"/>
      <c r="D68" s="31"/>
      <c r="E68" s="30"/>
      <c r="F68" s="30"/>
      <c r="G68" s="30"/>
      <c r="H68" s="32"/>
    </row>
    <row r="69" spans="3:8" x14ac:dyDescent="0.2">
      <c r="C69" s="31"/>
      <c r="D69" s="31"/>
      <c r="E69" s="30"/>
      <c r="F69" s="30"/>
      <c r="G69" s="30"/>
      <c r="H69" s="32"/>
    </row>
    <row r="70" spans="3:8" x14ac:dyDescent="0.2">
      <c r="C70" s="31"/>
      <c r="D70" s="31"/>
      <c r="E70" s="30"/>
      <c r="F70" s="30"/>
      <c r="G70" s="30"/>
      <c r="H70" s="32"/>
    </row>
    <row r="71" spans="3:8" x14ac:dyDescent="0.2">
      <c r="C71" s="31"/>
      <c r="D71" s="31"/>
      <c r="E71" s="30"/>
      <c r="F71" s="30"/>
      <c r="G71" s="30"/>
      <c r="H71" s="32"/>
    </row>
    <row r="72" spans="3:8" x14ac:dyDescent="0.2">
      <c r="C72" s="31"/>
      <c r="D72" s="31"/>
      <c r="E72" s="30"/>
      <c r="F72" s="30"/>
      <c r="G72" s="30"/>
      <c r="H72" s="32"/>
    </row>
    <row r="73" spans="3:8" x14ac:dyDescent="0.2">
      <c r="C73" s="31"/>
      <c r="D73" s="31"/>
      <c r="E73" s="30"/>
      <c r="F73" s="30"/>
      <c r="G73" s="30"/>
      <c r="H73" s="32"/>
    </row>
    <row r="74" spans="3:8" x14ac:dyDescent="0.2">
      <c r="C74" s="31"/>
      <c r="D74" s="31"/>
      <c r="E74" s="30"/>
      <c r="F74" s="30"/>
      <c r="G74" s="30"/>
      <c r="H74" s="32"/>
    </row>
    <row r="75" spans="3:8" x14ac:dyDescent="0.2">
      <c r="C75" s="31"/>
      <c r="D75" s="31"/>
      <c r="E75" s="30"/>
      <c r="F75" s="30"/>
      <c r="G75" s="30"/>
      <c r="H75" s="32"/>
    </row>
    <row r="76" spans="3:8" x14ac:dyDescent="0.2">
      <c r="C76" s="31"/>
      <c r="D76" s="31"/>
      <c r="E76" s="30"/>
      <c r="F76" s="30"/>
      <c r="G76" s="30"/>
      <c r="H76" s="32"/>
    </row>
    <row r="77" spans="3:8" x14ac:dyDescent="0.2">
      <c r="C77" s="31"/>
      <c r="D77" s="31"/>
      <c r="E77" s="30"/>
      <c r="F77" s="30"/>
      <c r="G77" s="30"/>
      <c r="H77" s="32"/>
    </row>
    <row r="78" spans="3:8" x14ac:dyDescent="0.2">
      <c r="C78" s="31"/>
      <c r="D78" s="31"/>
      <c r="E78" s="30"/>
      <c r="F78" s="30"/>
      <c r="G78" s="30"/>
      <c r="H78" s="32"/>
    </row>
    <row r="79" spans="3:8" x14ac:dyDescent="0.2">
      <c r="C79" s="31"/>
      <c r="D79" s="31"/>
      <c r="E79" s="30"/>
      <c r="F79" s="30"/>
      <c r="G79" s="30"/>
      <c r="H79" s="32"/>
    </row>
    <row r="80" spans="3:8" x14ac:dyDescent="0.2">
      <c r="C80" s="31"/>
      <c r="D80" s="31"/>
      <c r="E80" s="30"/>
      <c r="F80" s="30"/>
      <c r="G80" s="30"/>
      <c r="H80" s="32"/>
    </row>
    <row r="81" spans="3:8" x14ac:dyDescent="0.2">
      <c r="C81" s="31"/>
      <c r="D81" s="31"/>
      <c r="E81" s="30"/>
      <c r="F81" s="30"/>
      <c r="G81" s="30"/>
      <c r="H81" s="32"/>
    </row>
    <row r="82" spans="3:8" x14ac:dyDescent="0.2">
      <c r="C82" s="31"/>
      <c r="D82" s="31"/>
      <c r="E82" s="30"/>
      <c r="F82" s="30"/>
      <c r="G82" s="30"/>
      <c r="H82" s="32"/>
    </row>
    <row r="83" spans="3:8" x14ac:dyDescent="0.2">
      <c r="C83" s="31"/>
      <c r="D83" s="31"/>
      <c r="E83" s="30"/>
      <c r="F83" s="30"/>
      <c r="G83" s="30"/>
      <c r="H83" s="32"/>
    </row>
    <row r="84" spans="3:8" x14ac:dyDescent="0.2">
      <c r="C84" s="31"/>
      <c r="D84" s="31"/>
      <c r="E84" s="30"/>
      <c r="F84" s="30"/>
      <c r="G84" s="30"/>
      <c r="H84" s="32"/>
    </row>
    <row r="85" spans="3:8" x14ac:dyDescent="0.2">
      <c r="C85" s="31"/>
      <c r="D85" s="31"/>
      <c r="E85" s="30"/>
      <c r="F85" s="30"/>
      <c r="G85" s="30"/>
      <c r="H85" s="32"/>
    </row>
    <row r="86" spans="3:8" x14ac:dyDescent="0.2">
      <c r="C86" s="31"/>
      <c r="D86" s="31"/>
      <c r="E86" s="30"/>
      <c r="F86" s="30"/>
      <c r="G86" s="30"/>
      <c r="H86" s="32"/>
    </row>
    <row r="87" spans="3:8" x14ac:dyDescent="0.2">
      <c r="C87" s="31"/>
      <c r="D87" s="31"/>
      <c r="E87" s="30"/>
      <c r="F87" s="30"/>
      <c r="G87" s="30"/>
      <c r="H87" s="32"/>
    </row>
    <row r="88" spans="3:8" x14ac:dyDescent="0.2">
      <c r="C88" s="31"/>
      <c r="D88" s="31"/>
      <c r="E88" s="30"/>
      <c r="F88" s="30"/>
      <c r="G88" s="30"/>
      <c r="H88" s="32"/>
    </row>
    <row r="89" spans="3:8" x14ac:dyDescent="0.2">
      <c r="C89" s="31"/>
      <c r="D89" s="31"/>
      <c r="E89" s="30"/>
      <c r="F89" s="30"/>
      <c r="G89" s="30"/>
      <c r="H89" s="32"/>
    </row>
    <row r="90" spans="3:8" x14ac:dyDescent="0.2">
      <c r="C90" s="31"/>
      <c r="D90" s="31"/>
      <c r="E90" s="30"/>
      <c r="F90" s="30"/>
      <c r="G90" s="30"/>
      <c r="H90" s="32"/>
    </row>
    <row r="91" spans="3:8" x14ac:dyDescent="0.2">
      <c r="C91" s="31"/>
      <c r="D91" s="31"/>
      <c r="E91" s="30"/>
      <c r="F91" s="30"/>
      <c r="G91" s="30"/>
      <c r="H91" s="32"/>
    </row>
    <row r="92" spans="3:8" x14ac:dyDescent="0.2">
      <c r="C92" s="31"/>
      <c r="D92" s="31"/>
      <c r="E92" s="30"/>
      <c r="F92" s="30"/>
      <c r="G92" s="30"/>
      <c r="H92" s="32"/>
    </row>
    <row r="93" spans="3:8" x14ac:dyDescent="0.2">
      <c r="C93" s="31"/>
      <c r="D93" s="31"/>
      <c r="E93" s="30"/>
      <c r="F93" s="30"/>
      <c r="G93" s="30"/>
      <c r="H93" s="32"/>
    </row>
    <row r="94" spans="3:8" x14ac:dyDescent="0.2">
      <c r="C94" s="31"/>
      <c r="D94" s="31"/>
      <c r="E94" s="30"/>
      <c r="F94" s="30"/>
      <c r="G94" s="30"/>
      <c r="H94" s="32"/>
    </row>
    <row r="95" spans="3:8" x14ac:dyDescent="0.2">
      <c r="C95" s="31"/>
      <c r="D95" s="31"/>
      <c r="E95" s="30"/>
      <c r="F95" s="30"/>
      <c r="G95" s="30"/>
      <c r="H95" s="32"/>
    </row>
    <row r="96" spans="3:8" x14ac:dyDescent="0.2">
      <c r="C96" s="31"/>
      <c r="D96" s="31"/>
      <c r="E96" s="30"/>
      <c r="F96" s="30"/>
      <c r="G96" s="30"/>
      <c r="H96" s="32"/>
    </row>
    <row r="97" spans="3:8" x14ac:dyDescent="0.2">
      <c r="C97" s="31"/>
      <c r="D97" s="31"/>
      <c r="E97" s="30"/>
      <c r="F97" s="30"/>
      <c r="G97" s="30"/>
      <c r="H97" s="32"/>
    </row>
    <row r="98" spans="3:8" x14ac:dyDescent="0.2">
      <c r="C98" s="31"/>
      <c r="D98" s="31"/>
      <c r="E98" s="30"/>
      <c r="F98" s="30"/>
      <c r="G98" s="30"/>
      <c r="H98" s="32"/>
    </row>
    <row r="99" spans="3:8" x14ac:dyDescent="0.2">
      <c r="C99" s="31"/>
      <c r="D99" s="31"/>
      <c r="E99" s="30"/>
      <c r="F99" s="30"/>
      <c r="G99" s="30"/>
      <c r="H99" s="32"/>
    </row>
    <row r="100" spans="3:8" x14ac:dyDescent="0.2">
      <c r="C100" s="31"/>
      <c r="D100" s="31"/>
      <c r="E100" s="30"/>
      <c r="F100" s="30"/>
      <c r="G100" s="30"/>
      <c r="H100" s="32"/>
    </row>
    <row r="101" spans="3:8" x14ac:dyDescent="0.2">
      <c r="C101" s="31"/>
      <c r="D101" s="31"/>
      <c r="E101" s="30"/>
      <c r="F101" s="30"/>
      <c r="G101" s="30"/>
      <c r="H101" s="32"/>
    </row>
    <row r="102" spans="3:8" x14ac:dyDescent="0.2">
      <c r="C102" s="31"/>
      <c r="D102" s="31"/>
      <c r="E102" s="30"/>
      <c r="F102" s="30"/>
      <c r="G102" s="30"/>
      <c r="H102" s="32"/>
    </row>
    <row r="103" spans="3:8" x14ac:dyDescent="0.2">
      <c r="C103" s="31"/>
      <c r="D103" s="31"/>
      <c r="E103" s="30"/>
      <c r="F103" s="30"/>
      <c r="G103" s="30"/>
      <c r="H103" s="32"/>
    </row>
    <row r="104" spans="3:8" x14ac:dyDescent="0.2">
      <c r="C104" s="33"/>
      <c r="D104" s="33"/>
      <c r="E104" s="33"/>
      <c r="F104" s="33"/>
      <c r="G104" s="33"/>
      <c r="H104" s="32"/>
    </row>
  </sheetData>
  <autoFilter ref="C6:M50" xr:uid="{00000000-0001-0000-0000-000000000000}">
    <filterColumn colId="4">
      <filters>
        <filter val="0,38"/>
        <filter val="0,46"/>
        <filter val="0,55"/>
        <filter val="0,58"/>
        <filter val="0,69"/>
        <filter val="0,73"/>
        <filter val="0,74"/>
        <filter val="0,77"/>
        <filter val="0,87"/>
        <filter val="0,92"/>
        <filter val="1,15"/>
        <filter val="1,52"/>
      </filters>
    </filterColumn>
  </autoFilter>
  <mergeCells count="21">
    <mergeCell ref="C47:C49"/>
    <mergeCell ref="D47:D49"/>
    <mergeCell ref="C40:C41"/>
    <mergeCell ref="D40:D41"/>
    <mergeCell ref="C43:C44"/>
    <mergeCell ref="D43:D44"/>
    <mergeCell ref="C45:C46"/>
    <mergeCell ref="D45:D46"/>
    <mergeCell ref="C24:C28"/>
    <mergeCell ref="D24:D28"/>
    <mergeCell ref="C29:C30"/>
    <mergeCell ref="D29:D30"/>
    <mergeCell ref="C33:C35"/>
    <mergeCell ref="D33:D35"/>
    <mergeCell ref="C1:G1"/>
    <mergeCell ref="C9:C10"/>
    <mergeCell ref="D9:D10"/>
    <mergeCell ref="C17:C18"/>
    <mergeCell ref="D17:D18"/>
    <mergeCell ref="C20:C22"/>
    <mergeCell ref="D20:D22"/>
  </mergeCells>
  <conditionalFormatting sqref="E24:E49">
    <cfRule type="cellIs" dxfId="5" priority="3" operator="between">
      <formula>0.35</formula>
      <formula>0.65</formula>
    </cfRule>
  </conditionalFormatting>
  <conditionalFormatting sqref="H24:H49">
    <cfRule type="cellIs" dxfId="3" priority="2" operator="between">
      <formula>0.1</formula>
      <formula>0.15</formula>
    </cfRule>
  </conditionalFormatting>
  <conditionalFormatting sqref="I24:I49">
    <cfRule type="cellIs" dxfId="4" priority="1" operator="between">
      <formula>0.3</formula>
      <formula>0.45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Ku,Tu</vt:lpstr>
      <vt:lpstr>Ranking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 MORENO, GARIKOITZ</dc:creator>
  <cp:lastModifiedBy>MARTINEZ MORENO, GARIKOITZ</cp:lastModifiedBy>
  <cp:lastPrinted>2022-06-08T10:32:34Z</cp:lastPrinted>
  <dcterms:created xsi:type="dcterms:W3CDTF">2015-06-05T18:17:20Z</dcterms:created>
  <dcterms:modified xsi:type="dcterms:W3CDTF">2022-06-21T11:15:35Z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119503-6b46-4a43-a658-e1d3aca29592_Enabled">
    <vt:lpwstr>true</vt:lpwstr>
  </property>
  <property fmtid="{D5CDD505-2E9C-101B-9397-08002B2CF9AE}" pid="3" name="MSIP_Label_d1119503-6b46-4a43-a658-e1d3aca29592_SetDate">
    <vt:lpwstr>2022-06-08T07:26:21Z</vt:lpwstr>
  </property>
  <property fmtid="{D5CDD505-2E9C-101B-9397-08002B2CF9AE}" pid="4" name="MSIP_Label_d1119503-6b46-4a43-a658-e1d3aca29592_Method">
    <vt:lpwstr>Privileged</vt:lpwstr>
  </property>
  <property fmtid="{D5CDD505-2E9C-101B-9397-08002B2CF9AE}" pid="5" name="MSIP_Label_d1119503-6b46-4a43-a658-e1d3aca29592_Name">
    <vt:lpwstr>No Additional Protections</vt:lpwstr>
  </property>
  <property fmtid="{D5CDD505-2E9C-101B-9397-08002B2CF9AE}" pid="6" name="MSIP_Label_d1119503-6b46-4a43-a658-e1d3aca29592_SiteId">
    <vt:lpwstr>0a25214f-ee52-483c-b96b-dc79f3227a6f</vt:lpwstr>
  </property>
  <property fmtid="{D5CDD505-2E9C-101B-9397-08002B2CF9AE}" pid="7" name="MSIP_Label_d1119503-6b46-4a43-a658-e1d3aca29592_ActionId">
    <vt:lpwstr>1c13d405-bc2f-4869-9cf3-7a2a8bfca417</vt:lpwstr>
  </property>
  <property fmtid="{D5CDD505-2E9C-101B-9397-08002B2CF9AE}" pid="8" name="MSIP_Label_d1119503-6b46-4a43-a658-e1d3aca29592_ContentBits">
    <vt:lpwstr>0</vt:lpwstr>
  </property>
</Properties>
</file>